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EXCEL\WATER\MANAGE\PR19\PR14 Reconciliation models\Final models Submission July 2018\"/>
    </mc:Choice>
  </mc:AlternateContent>
  <bookViews>
    <workbookView xWindow="0" yWindow="0" windowWidth="20160" windowHeight="8868" activeTab="2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  <externalReference r:id="rId7"/>
    <externalReference r:id="rId8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_xlnm.Print_Area" localSheetId="2">'Totex menu adjustments'!$A$1:$P$23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62913"/>
</workbook>
</file>

<file path=xl/calcChain.xml><?xml version="1.0" encoding="utf-8"?>
<calcChain xmlns="http://schemas.openxmlformats.org/spreadsheetml/2006/main">
  <c r="U22" i="7" l="1"/>
  <c r="T22" i="7"/>
  <c r="S22" i="7"/>
  <c r="R22" i="7"/>
  <c r="Q22" i="7"/>
  <c r="U21" i="7"/>
  <c r="T21" i="7"/>
  <c r="S21" i="7"/>
  <c r="R21" i="7"/>
  <c r="Q21" i="7"/>
  <c r="U20" i="7"/>
  <c r="T20" i="7"/>
  <c r="S20" i="7"/>
  <c r="R20" i="7"/>
  <c r="Q20" i="7"/>
  <c r="U19" i="7"/>
  <c r="T19" i="7"/>
  <c r="S19" i="7"/>
  <c r="R19" i="7"/>
  <c r="Q19" i="7"/>
  <c r="U18" i="7"/>
  <c r="T18" i="7"/>
  <c r="S18" i="7"/>
  <c r="R18" i="7"/>
  <c r="Q18" i="7"/>
  <c r="U17" i="7"/>
  <c r="T17" i="7"/>
  <c r="S17" i="7"/>
  <c r="R17" i="7"/>
  <c r="Q17" i="7"/>
  <c r="U16" i="7"/>
  <c r="T16" i="7"/>
  <c r="S16" i="7"/>
  <c r="R16" i="7"/>
  <c r="Q16" i="7"/>
  <c r="U15" i="7"/>
  <c r="T15" i="7"/>
  <c r="S15" i="7"/>
  <c r="R15" i="7"/>
  <c r="Q15" i="7"/>
  <c r="U14" i="7"/>
  <c r="T14" i="7"/>
  <c r="S14" i="7"/>
  <c r="R14" i="7"/>
  <c r="Q14" i="7"/>
  <c r="U13" i="7"/>
  <c r="T13" i="7"/>
  <c r="S13" i="7"/>
  <c r="R13" i="7"/>
  <c r="Q13" i="7"/>
  <c r="U12" i="7"/>
  <c r="T12" i="7"/>
  <c r="S12" i="7"/>
  <c r="R12" i="7"/>
  <c r="Q12" i="7"/>
  <c r="U11" i="7"/>
  <c r="T11" i="7"/>
  <c r="S11" i="7"/>
  <c r="R11" i="7"/>
  <c r="Q11" i="7"/>
  <c r="P62" i="4" l="1"/>
  <c r="O62" i="4"/>
  <c r="M62" i="4"/>
  <c r="L62" i="4"/>
  <c r="L61" i="4"/>
  <c r="P52" i="4"/>
  <c r="O52" i="4"/>
  <c r="N52" i="4"/>
  <c r="N62" i="4" l="1"/>
  <c r="N60" i="4"/>
  <c r="L60" i="4" l="1"/>
  <c r="M60" i="4" l="1"/>
  <c r="L52" i="4" l="1"/>
  <c r="M52" i="4" l="1"/>
  <c r="O60" i="4" l="1"/>
  <c r="P60" i="4" l="1"/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J40" i="7"/>
  <c r="K40" i="7" s="1"/>
  <c r="L40" i="7" s="1"/>
  <c r="M40" i="7" s="1"/>
  <c r="N40" i="7" s="1"/>
  <c r="I40" i="7"/>
  <c r="J39" i="7"/>
  <c r="K39" i="7" s="1"/>
  <c r="L39" i="7" s="1"/>
  <c r="M39" i="7" s="1"/>
  <c r="N39" i="7" s="1"/>
  <c r="I39" i="7"/>
  <c r="K38" i="7"/>
  <c r="L38" i="7" s="1"/>
  <c r="M38" i="7" s="1"/>
  <c r="N38" i="7" s="1"/>
  <c r="J38" i="7"/>
  <c r="I38" i="7"/>
  <c r="J37" i="7"/>
  <c r="K37" i="7" s="1"/>
  <c r="L37" i="7" s="1"/>
  <c r="M37" i="7" s="1"/>
  <c r="N37" i="7" s="1"/>
  <c r="I37" i="7"/>
  <c r="J36" i="7"/>
  <c r="K36" i="7" s="1"/>
  <c r="L36" i="7" s="1"/>
  <c r="M36" i="7" s="1"/>
  <c r="N36" i="7" s="1"/>
  <c r="I36" i="7"/>
  <c r="H36" i="7"/>
  <c r="J35" i="7"/>
  <c r="K35" i="7" s="1"/>
  <c r="L35" i="7" s="1"/>
  <c r="M35" i="7" s="1"/>
  <c r="N35" i="7" s="1"/>
  <c r="I35" i="7"/>
  <c r="J34" i="7"/>
  <c r="K34" i="7" s="1"/>
  <c r="L34" i="7" s="1"/>
  <c r="M34" i="7" s="1"/>
  <c r="N34" i="7" s="1"/>
  <c r="I34" i="7"/>
  <c r="K33" i="7"/>
  <c r="L33" i="7" s="1"/>
  <c r="M33" i="7" s="1"/>
  <c r="N33" i="7" s="1"/>
  <c r="J33" i="7"/>
  <c r="I33" i="7"/>
  <c r="J32" i="7"/>
  <c r="K32" i="7" s="1"/>
  <c r="L32" i="7" s="1"/>
  <c r="M32" i="7" s="1"/>
  <c r="N32" i="7" s="1"/>
  <c r="I32" i="7"/>
  <c r="J31" i="7"/>
  <c r="K31" i="7" s="1"/>
  <c r="L31" i="7" s="1"/>
  <c r="M31" i="7" s="1"/>
  <c r="N31" i="7" s="1"/>
  <c r="I31" i="7"/>
  <c r="J30" i="7"/>
  <c r="K30" i="7" s="1"/>
  <c r="L30" i="7" s="1"/>
  <c r="M30" i="7" s="1"/>
  <c r="N30" i="7" s="1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M180" i="5" l="1"/>
  <c r="M183" i="5" s="1"/>
  <c r="M19" i="5"/>
  <c r="N180" i="5"/>
  <c r="N183" i="5" s="1"/>
  <c r="N19" i="5"/>
  <c r="L30" i="5"/>
  <c r="L32" i="5" s="1"/>
  <c r="M15" i="5"/>
  <c r="M31" i="5" s="1"/>
  <c r="M18" i="5"/>
  <c r="N51" i="7"/>
  <c r="M14" i="5"/>
  <c r="M51" i="7"/>
  <c r="N14" i="5"/>
  <c r="N15" i="5"/>
  <c r="N135" i="4"/>
  <c r="N18" i="5"/>
  <c r="H119" i="4"/>
  <c r="N31" i="5" l="1"/>
  <c r="N30" i="5"/>
  <c r="M30" i="5"/>
  <c r="G46" i="5"/>
  <c r="G41" i="5"/>
  <c r="G64" i="5"/>
  <c r="Q29" i="7"/>
  <c r="M32" i="5" l="1"/>
  <c r="G65" i="5"/>
  <c r="N32" i="5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R29" i="7"/>
  <c r="P152" i="5" l="1"/>
  <c r="N152" i="5"/>
  <c r="N162" i="5"/>
  <c r="O152" i="5"/>
  <c r="M152" i="5"/>
  <c r="M162" i="5"/>
  <c r="L156" i="5"/>
  <c r="L166" i="5" s="1"/>
  <c r="L170" i="5" s="1"/>
  <c r="G84" i="5"/>
  <c r="G85" i="5" s="1"/>
  <c r="G87" i="5" s="1"/>
  <c r="G88" i="5" s="1"/>
  <c r="G94" i="5" s="1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S29" i="7"/>
  <c r="N153" i="5" l="1"/>
  <c r="N163" i="5"/>
  <c r="P153" i="5"/>
  <c r="O153" i="5"/>
  <c r="M153" i="5"/>
  <c r="M163" i="5"/>
  <c r="L153" i="5"/>
  <c r="M166" i="5"/>
  <c r="N123" i="5"/>
  <c r="N126" i="5" s="1"/>
  <c r="O157" i="5"/>
  <c r="L157" i="5"/>
  <c r="M157" i="5"/>
  <c r="P157" i="5"/>
  <c r="N157" i="5"/>
  <c r="N166" i="5"/>
  <c r="G102" i="5"/>
  <c r="T29" i="7"/>
  <c r="N167" i="5" l="1"/>
  <c r="M167" i="5"/>
  <c r="M171" i="5" s="1"/>
  <c r="L167" i="5"/>
  <c r="L171" i="5" s="1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U29" i="7"/>
  <c r="P114" i="5" l="1"/>
  <c r="I3" i="4" l="1"/>
  <c r="I3" i="7"/>
  <c r="I3" i="5"/>
  <c r="M170" i="5" l="1"/>
  <c r="N170" i="5"/>
  <c r="O45" i="7" l="1"/>
  <c r="J45" i="7"/>
  <c r="I45" i="7"/>
  <c r="K45" i="7"/>
  <c r="N45" i="7"/>
  <c r="M45" i="7"/>
  <c r="L45" i="7"/>
  <c r="O22" i="7" l="1"/>
  <c r="O40" i="7" s="1"/>
  <c r="O17" i="7"/>
  <c r="O35" i="7" s="1"/>
  <c r="O12" i="7"/>
  <c r="O30" i="7" s="1"/>
  <c r="O18" i="7"/>
  <c r="O36" i="7" s="1"/>
  <c r="O13" i="7"/>
  <c r="O31" i="7" s="1"/>
  <c r="O11" i="7"/>
  <c r="O29" i="7" s="1"/>
  <c r="O14" i="7"/>
  <c r="O32" i="7" s="1"/>
  <c r="O19" i="7"/>
  <c r="O37" i="7" s="1"/>
  <c r="O20" i="7"/>
  <c r="O38" i="7" s="1"/>
  <c r="O21" i="7"/>
  <c r="O39" i="7" s="1"/>
  <c r="O16" i="7"/>
  <c r="O34" i="7" s="1"/>
  <c r="O15" i="7"/>
  <c r="O33" i="7" s="1"/>
  <c r="P45" i="7"/>
  <c r="O41" i="7"/>
  <c r="O49" i="7" s="1"/>
  <c r="P15" i="7" l="1"/>
  <c r="P33" i="7" s="1"/>
  <c r="Q33" i="7" s="1"/>
  <c r="R33" i="7" s="1"/>
  <c r="S33" i="7" s="1"/>
  <c r="T33" i="7" s="1"/>
  <c r="U33" i="7" s="1"/>
  <c r="P21" i="7"/>
  <c r="P39" i="7" s="1"/>
  <c r="Q39" i="7" s="1"/>
  <c r="R39" i="7" s="1"/>
  <c r="S39" i="7" s="1"/>
  <c r="T39" i="7" s="1"/>
  <c r="U39" i="7" s="1"/>
  <c r="P20" i="7"/>
  <c r="P38" i="7" s="1"/>
  <c r="Q38" i="7" s="1"/>
  <c r="R38" i="7" s="1"/>
  <c r="S38" i="7" s="1"/>
  <c r="T38" i="7" s="1"/>
  <c r="U38" i="7" s="1"/>
  <c r="P13" i="7"/>
  <c r="P31" i="7" s="1"/>
  <c r="Q31" i="7" s="1"/>
  <c r="R31" i="7" s="1"/>
  <c r="S31" i="7" s="1"/>
  <c r="T31" i="7" s="1"/>
  <c r="U31" i="7" s="1"/>
  <c r="P22" i="7"/>
  <c r="P40" i="7" s="1"/>
  <c r="Q40" i="7" s="1"/>
  <c r="R40" i="7" s="1"/>
  <c r="S40" i="7" s="1"/>
  <c r="T40" i="7" s="1"/>
  <c r="U40" i="7" s="1"/>
  <c r="P12" i="7"/>
  <c r="P30" i="7" s="1"/>
  <c r="Q30" i="7" s="1"/>
  <c r="O15" i="5"/>
  <c r="O180" i="5"/>
  <c r="O183" i="5" s="1"/>
  <c r="O51" i="7"/>
  <c r="O135" i="4"/>
  <c r="O140" i="4" s="1"/>
  <c r="O123" i="5" s="1"/>
  <c r="O126" i="5" s="1"/>
  <c r="O19" i="5"/>
  <c r="O18" i="5"/>
  <c r="O14" i="5"/>
  <c r="O162" i="5"/>
  <c r="O166" i="5" s="1"/>
  <c r="O170" i="5" s="1"/>
  <c r="O163" i="5"/>
  <c r="O167" i="5" s="1"/>
  <c r="O171" i="5" s="1"/>
  <c r="P16" i="7"/>
  <c r="P34" i="7" s="1"/>
  <c r="Q34" i="7" s="1"/>
  <c r="R34" i="7" s="1"/>
  <c r="S34" i="7" s="1"/>
  <c r="T34" i="7" s="1"/>
  <c r="U34" i="7" s="1"/>
  <c r="P19" i="7"/>
  <c r="P37" i="7" s="1"/>
  <c r="Q37" i="7" s="1"/>
  <c r="R37" i="7" s="1"/>
  <c r="S37" i="7" s="1"/>
  <c r="T37" i="7" s="1"/>
  <c r="U37" i="7" s="1"/>
  <c r="P11" i="7"/>
  <c r="P29" i="7" s="1"/>
  <c r="P18" i="7"/>
  <c r="P36" i="7" s="1"/>
  <c r="P14" i="7"/>
  <c r="P32" i="7" s="1"/>
  <c r="Q32" i="7" s="1"/>
  <c r="R32" i="7" s="1"/>
  <c r="S32" i="7" s="1"/>
  <c r="T32" i="7" s="1"/>
  <c r="U32" i="7" s="1"/>
  <c r="P17" i="7"/>
  <c r="P35" i="7" s="1"/>
  <c r="Q35" i="7" s="1"/>
  <c r="R35" i="7" s="1"/>
  <c r="S35" i="7" s="1"/>
  <c r="T35" i="7" s="1"/>
  <c r="U35" i="7" s="1"/>
  <c r="P41" i="7" l="1"/>
  <c r="P49" i="7" s="1"/>
  <c r="O30" i="5"/>
  <c r="R30" i="7"/>
  <c r="Q41" i="7"/>
  <c r="Q49" i="7" s="1"/>
  <c r="Q36" i="7"/>
  <c r="Q45" i="7"/>
  <c r="O31" i="5"/>
  <c r="O32" i="5" l="1"/>
  <c r="R36" i="7"/>
  <c r="R45" i="7"/>
  <c r="P15" i="5"/>
  <c r="P31" i="5" s="1"/>
  <c r="P135" i="4"/>
  <c r="P140" i="4" s="1"/>
  <c r="P123" i="5" s="1"/>
  <c r="P126" i="5" s="1"/>
  <c r="P130" i="5" s="1"/>
  <c r="P19" i="5"/>
  <c r="P18" i="5"/>
  <c r="P14" i="5"/>
  <c r="P30" i="5" s="1"/>
  <c r="P32" i="5" s="1"/>
  <c r="P180" i="5"/>
  <c r="P183" i="5" s="1"/>
  <c r="P186" i="5" s="1"/>
  <c r="Q51" i="7"/>
  <c r="P162" i="5"/>
  <c r="P166" i="5" s="1"/>
  <c r="P170" i="5" s="1"/>
  <c r="P163" i="5"/>
  <c r="P167" i="5" s="1"/>
  <c r="P171" i="5" s="1"/>
  <c r="P175" i="5" s="1"/>
  <c r="P51" i="7"/>
  <c r="S30" i="7"/>
  <c r="R41" i="7"/>
  <c r="R49" i="7" s="1"/>
  <c r="P174" i="5" l="1"/>
  <c r="P198" i="5"/>
  <c r="P12" i="8" s="1"/>
  <c r="P203" i="5"/>
  <c r="P19" i="8" s="1"/>
  <c r="T30" i="7"/>
  <c r="S36" i="7"/>
  <c r="S45" i="7"/>
  <c r="G77" i="5"/>
  <c r="G78" i="5" s="1"/>
  <c r="G80" i="5" s="1"/>
  <c r="G81" i="5" s="1"/>
  <c r="G93" i="5" s="1"/>
  <c r="G101" i="5" s="1"/>
  <c r="P202" i="5"/>
  <c r="P18" i="8" s="1"/>
  <c r="R51" i="7"/>
  <c r="L105" i="5" l="1"/>
  <c r="L109" i="5" s="1"/>
  <c r="M105" i="5"/>
  <c r="M109" i="5" s="1"/>
  <c r="P105" i="5"/>
  <c r="P109" i="5" s="1"/>
  <c r="N105" i="5"/>
  <c r="N109" i="5" s="1"/>
  <c r="O105" i="5"/>
  <c r="O109" i="5" s="1"/>
  <c r="U30" i="7"/>
  <c r="T36" i="7"/>
  <c r="T41" i="7" s="1"/>
  <c r="T49" i="7" s="1"/>
  <c r="T45" i="7"/>
  <c r="P41" i="8"/>
  <c r="P21" i="8"/>
  <c r="S41" i="7"/>
  <c r="S49" i="7" s="1"/>
  <c r="T51" i="7" l="1"/>
  <c r="S51" i="7"/>
  <c r="U36" i="7"/>
  <c r="U41" i="7" s="1"/>
  <c r="U49" i="7" s="1"/>
  <c r="U51" i="7" s="1"/>
  <c r="U45" i="7"/>
  <c r="P113" i="5"/>
  <c r="P197" i="5" s="1"/>
  <c r="P11" i="8" s="1"/>
  <c r="P14" i="8" l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<sst xmlns="http://schemas.openxmlformats.org/spreadsheetml/2006/main" count="709" uniqueCount="375">
  <si>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</si>
  <si>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</si>
  <si>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</si>
  <si>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</si>
  <si>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</si>
  <si>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</si>
  <si>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</si>
  <si>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</si>
  <si>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</si>
  <si>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</si>
  <si>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</si>
  <si>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</si>
  <si>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</si>
  <si>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</si>
  <si>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</si>
  <si>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</si>
  <si>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</si>
  <si>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</si>
  <si>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</si>
  <si>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</si>
  <si>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</si>
  <si>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</si>
  <si>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</si>
  <si>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</si>
  <si>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</si>
  <si>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</si>
  <si>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</si>
  <si>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</si>
  <si>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</si>
  <si>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</si>
  <si>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</si>
  <si>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</si>
  <si>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</si>
  <si>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</si>
  <si>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</si>
  <si>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</si>
  <si>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</si>
  <si>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</si>
  <si>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</si>
  <si>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</si>
  <si>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</si>
  <si>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</si>
  <si>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</si>
  <si>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</si>
  <si>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</si>
  <si>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</si>
  <si>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</si>
  <si>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</si>
  <si>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</si>
  <si>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</si>
  <si>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</si>
  <si>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</si>
  <si>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</si>
  <si>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</si>
  <si>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</si>
  <si>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</si>
  <si>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</si>
  <si>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</si>
  <si>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</si>
  <si>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</si>
  <si>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</si>
  <si>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</si>
  <si>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</si>
  <si>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</si>
  <si>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</si>
  <si>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</si>
  <si>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</si>
  <si>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</si>
  <si>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</si>
  <si>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</si>
  <si>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</si>
  <si>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</si>
  <si>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</si>
  <si>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</si>
  <si>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</si>
  <si>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</si>
  <si>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</si>
  <si>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</si>
  <si>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</si>
  <si>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</si>
  <si>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</si>
  <si>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</si>
  <si>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</si>
  <si>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</si>
  <si>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</si>
  <si>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</si>
  <si>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</si>
  <si>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</si>
  <si>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</si>
  <si>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</si>
  <si>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</si>
  <si>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</si>
  <si>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</si>
  <si>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</si>
  <si>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</si>
  <si>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</si>
  <si>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</si>
  <si>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</si>
  <si>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</si>
  <si>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</si>
  <si>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</si>
  <si>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</si>
  <si>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</si>
  <si>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</si>
  <si>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</si>
  <si>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</si>
  <si>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</si>
  <si>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</si>
  <si>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</si>
  <si>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</si>
  <si>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</si>
  <si>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</si>
  <si>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</si>
  <si>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</si>
  <si>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</si>
  <si>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</si>
  <si>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</si>
  <si>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</si>
  <si>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</si>
  <si>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</si>
  <si>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</si>
  <si>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</si>
  <si>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</si>
  <si>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</si>
  <si>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</si>
  <si>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</si>
  <si>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</si>
  <si>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</si>
  <si>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</si>
  <si>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</si>
  <si>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</si>
  <si>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</si>
  <si>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</si>
  <si>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</si>
  <si>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</si>
  <si>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</si>
  <si>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</si>
  <si>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</si>
  <si>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</si>
  <si>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</si>
  <si>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</si>
  <si>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</si>
  <si>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</si>
  <si>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</si>
  <si>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</si>
  <si>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</si>
  <si>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</si>
  <si>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</si>
  <si>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</si>
  <si>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</si>
  <si>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</si>
  <si>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</si>
  <si>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</si>
  <si>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</si>
  <si>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</si>
  <si>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</si>
  <si>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</si>
  <si>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</si>
  <si>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</si>
  <si>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</si>
  <si>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</si>
  <si>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</si>
  <si>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</si>
  <si>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</si>
  <si>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</si>
  <si>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</si>
  <si>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</si>
  <si>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</si>
  <si>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</si>
  <si>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</si>
  <si>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</si>
  <si>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</si>
  <si>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</si>
  <si>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</si>
  <si>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</si>
  <si>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</si>
  <si>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</si>
  <si>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</si>
  <si>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</si>
  <si>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</si>
  <si>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</si>
  <si>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</si>
  <si>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</si>
  <si>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</si>
  <si>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</si>
  <si>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</si>
  <si>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</si>
  <si>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</si>
  <si>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</si>
  <si>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</si>
  <si>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</si>
  <si>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</si>
  <si>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</si>
  <si>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</si>
  <si>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</si>
  <si>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</si>
  <si>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</si>
  <si>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</si>
  <si>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</si>
  <si>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</si>
  <si>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</si>
  <si>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</si>
  <si>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</si>
  <si>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</si>
  <si>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</si>
  <si>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</si>
  <si>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</si>
  <si>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</si>
  <si>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</si>
  <si>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</si>
  <si>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</si>
  <si>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</si>
  <si>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</si>
  <si>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</si>
  <si>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</si>
  <si>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</si>
  <si>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</si>
  <si>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</si>
  <si>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</si>
  <si>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</si>
  <si>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</si>
  <si>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</si>
  <si>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</si>
  <si>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</si>
  <si>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</si>
  <si>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</si>
  <si>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</si>
  <si>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</si>
  <si>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</si>
  <si>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</si>
  <si>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</si>
  <si>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</si>
  <si>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</si>
  <si>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</si>
  <si>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</si>
  <si>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</si>
  <si>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</si>
  <si>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</si>
  <si>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</si>
  <si>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</si>
  <si>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</si>
  <si>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</si>
  <si>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</si>
  <si>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</si>
  <si>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</si>
  <si>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</si>
  <si>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</si>
  <si>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</si>
  <si>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</si>
  <si>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</si>
  <si>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</si>
  <si>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</si>
  <si>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</si>
  <si>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</si>
  <si>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</si>
  <si>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</si>
  <si>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</si>
  <si>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</si>
  <si>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</si>
  <si>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</si>
  <si>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</si>
  <si>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</si>
  <si>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</si>
  <si>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</si>
  <si>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</si>
  <si>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</si>
  <si>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</si>
  <si>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</si>
  <si>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</si>
  <si>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</si>
  <si>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</si>
  <si>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</si>
  <si>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</si>
  <si>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</si>
  <si>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</si>
  <si>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</si>
  <si>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</si>
  <si>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</si>
  <si>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</si>
  <si>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</si>
  <si>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</si>
  <si>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</si>
  <si>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</si>
  <si>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</si>
  <si>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</si>
  <si>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</si>
  <si>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</si>
  <si>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</si>
  <si>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</si>
  <si>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</si>
  <si>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</si>
  <si>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</si>
  <si>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</si>
  <si>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</si>
  <si>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</si>
  <si>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</si>
  <si>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</si>
  <si>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</si>
  <si>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</si>
  <si>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</si>
  <si>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</si>
  <si>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</si>
  <si>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</si>
  <si>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</si>
  <si>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</si>
  <si>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</si>
  <si>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</si>
  <si>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</si>
  <si>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</si>
  <si>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</si>
  <si>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</si>
  <si>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</si>
  <si>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</si>
  <si>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</si>
  <si>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</si>
  <si>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</si>
  <si>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</si>
  <si>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</si>
  <si>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</si>
  <si>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</si>
  <si>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</si>
  <si>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</si>
  <si>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</si>
  <si>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</si>
  <si>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</si>
  <si>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</si>
  <si>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</si>
  <si>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</si>
  <si>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</si>
  <si>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</si>
  <si>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</si>
  <si>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</si>
  <si>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</si>
  <si>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</si>
  <si>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</si>
  <si>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</si>
  <si>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</si>
  <si>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</si>
  <si>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</si>
  <si>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</si>
  <si>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</si>
  <si>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</si>
  <si>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</si>
  <si>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</si>
  <si>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</si>
  <si>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</si>
  <si>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</si>
  <si>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</si>
  <si>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</si>
  <si>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</si>
  <si>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</si>
  <si>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</si>
  <si>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</si>
  <si>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</si>
  <si>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</si>
  <si>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</si>
  <si>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</si>
  <si>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</si>
  <si>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</si>
  <si>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</si>
  <si>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</si>
  <si>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</si>
  <si>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</si>
  <si>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</si>
  <si>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</si>
  <si>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</si>
  <si>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</si>
  <si>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</si>
  <si>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</si>
  <si>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</si>
  <si>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</si>
  <si>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</si>
  <si>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</si>
  <si>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SSC</t>
  </si>
  <si>
    <t>WoC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</si>
</sst>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6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  <xf numFmtId="177" fontId="2" fillId="8" borderId="30" xfId="73" applyNumberFormat="1" applyFont="1" applyFill="1" applyBorder="1" applyAlignment="1" applyProtection="1">
      <alignment horizontal="right" vertical="center"/>
    </xf>
    <xf numFmtId="178" fontId="2" fillId="8" borderId="30" xfId="9" applyNumberFormat="1" applyFont="1" applyFill="1" applyBorder="1" applyProtection="1"/>
    <xf numFmtId="175" fontId="2" fillId="0" borderId="0" xfId="1" applyNumberFormat="1" applyFont="1" applyFill="1" applyBorder="1" applyAlignment="1" applyProtection="1">
      <alignment horizontal="right" vertical="center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890218\AppData\Local\Temp\notesF3B52A\PR09%20Legacy%20Blind%20Year%2020150619%20v3.0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2017_8%20menu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19-RCV-adjustments-feeder-model-June-2018-up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eb 18"/>
      <sheetName val="Up to date Summay"/>
      <sheetName val="RPI - Feb 18"/>
      <sheetName val="Inputs"/>
      <sheetName val="Calcs"/>
      <sheetName val="Totex menu adjustments"/>
      <sheetName val="RPI"/>
      <sheetName val="Timeline"/>
    </sheetNames>
    <sheetDataSet>
      <sheetData sheetId="0"/>
      <sheetData sheetId="1">
        <row r="112">
          <cell r="B112">
            <v>80.162509204557892</v>
          </cell>
          <cell r="C112">
            <v>85.61783658200001</v>
          </cell>
          <cell r="D112">
            <v>95.271477186577016</v>
          </cell>
          <cell r="E112">
            <v>94.023356170903185</v>
          </cell>
          <cell r="F112">
            <v>95.87480836649641</v>
          </cell>
        </row>
        <row r="114">
          <cell r="B114">
            <v>1.6419999999999999</v>
          </cell>
          <cell r="C114">
            <v>1.6020000000000001</v>
          </cell>
          <cell r="D114">
            <v>1.8049999999999999</v>
          </cell>
          <cell r="E114">
            <v>1.1187256638905554</v>
          </cell>
          <cell r="F114">
            <v>1.1187256638905554</v>
          </cell>
        </row>
        <row r="115">
          <cell r="B115">
            <v>1.5697266316269769</v>
          </cell>
          <cell r="C115">
            <v>1.679</v>
          </cell>
          <cell r="D115">
            <v>1.4111974161360286</v>
          </cell>
          <cell r="E115">
            <v>1.5760415009073991</v>
          </cell>
          <cell r="F115">
            <v>1.6233227459346213</v>
          </cell>
        </row>
        <row r="136">
          <cell r="J136" t="str">
            <v>OFF</v>
          </cell>
        </row>
        <row r="137">
          <cell r="J137">
            <v>6.0460000000000003</v>
          </cell>
        </row>
      </sheetData>
      <sheetData sheetId="2">
        <row r="5">
          <cell r="H5">
            <v>3.3750000000000002E-2</v>
          </cell>
        </row>
      </sheetData>
      <sheetData sheetId="3"/>
      <sheetData sheetId="4">
        <row r="109">
          <cell r="L109">
            <v>-2.4893780232109509E-3</v>
          </cell>
        </row>
      </sheetData>
      <sheetData sheetId="5">
        <row r="11">
          <cell r="P11">
            <v>-0.28925452454696865</v>
          </cell>
        </row>
      </sheetData>
      <sheetData sheetId="6">
        <row r="24">
          <cell r="N24">
            <v>3.5749999999999997E-2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"/>
      <sheetName val="Map &amp; Key"/>
      <sheetName val="Inputs"/>
      <sheetName val="Time"/>
      <sheetName val="Indexation"/>
      <sheetName val="Calc"/>
      <sheetName val="Summary_Output"/>
    </sheetNames>
    <sheetDataSet>
      <sheetData sheetId="0"/>
      <sheetData sheetId="1"/>
      <sheetData sheetId="2"/>
      <sheetData sheetId="3">
        <row r="52">
          <cell r="P52">
            <v>279.73275000000001</v>
          </cell>
          <cell r="Q52">
            <v>288.12473249999999</v>
          </cell>
          <cell r="R52">
            <v>296.84050565812504</v>
          </cell>
          <cell r="S52">
            <v>306.04256133352692</v>
          </cell>
          <cell r="T52">
            <v>315.22383817353273</v>
          </cell>
          <cell r="U52">
            <v>324.6805533187387</v>
          </cell>
          <cell r="V52">
            <v>334.4209699183009</v>
          </cell>
        </row>
        <row r="53">
          <cell r="P53">
            <v>280.86987499999998</v>
          </cell>
          <cell r="Q53">
            <v>289.29597124999998</v>
          </cell>
          <cell r="R53">
            <v>298.04717438031253</v>
          </cell>
          <cell r="S53">
            <v>307.28663678610218</v>
          </cell>
          <cell r="T53">
            <v>316.50523588968525</v>
          </cell>
          <cell r="U53">
            <v>326.00039296637584</v>
          </cell>
          <cell r="V53">
            <v>335.7804047553671</v>
          </cell>
        </row>
        <row r="54">
          <cell r="P54">
            <v>281.49012499999998</v>
          </cell>
          <cell r="Q54">
            <v>289.93482875000001</v>
          </cell>
          <cell r="R54">
            <v>298.70535731968755</v>
          </cell>
          <cell r="S54">
            <v>307.96522339659782</v>
          </cell>
          <cell r="T54">
            <v>317.20418009849578</v>
          </cell>
          <cell r="U54">
            <v>326.72030550145064</v>
          </cell>
          <cell r="V54">
            <v>336.52191466649418</v>
          </cell>
        </row>
        <row r="55">
          <cell r="P55">
            <v>282.11037499999998</v>
          </cell>
          <cell r="Q55">
            <v>290.57368624999998</v>
          </cell>
          <cell r="R55">
            <v>299.36354025906252</v>
          </cell>
          <cell r="S55">
            <v>308.64381000709341</v>
          </cell>
          <cell r="T55">
            <v>317.9031243073062</v>
          </cell>
          <cell r="U55">
            <v>327.44021803652538</v>
          </cell>
          <cell r="V55">
            <v>337.26342457762115</v>
          </cell>
        </row>
        <row r="56">
          <cell r="P56">
            <v>283.97112499999997</v>
          </cell>
          <cell r="Q56">
            <v>292.49025874999995</v>
          </cell>
          <cell r="R56">
            <v>301.33808907718748</v>
          </cell>
          <cell r="S56">
            <v>310.67956983858028</v>
          </cell>
          <cell r="T56">
            <v>319.99995693373768</v>
          </cell>
          <cell r="U56">
            <v>329.59995564174983</v>
          </cell>
          <cell r="V56">
            <v>339.48795431100234</v>
          </cell>
        </row>
        <row r="57">
          <cell r="P57">
            <v>284.38462500000003</v>
          </cell>
          <cell r="Q57">
            <v>292.91616375000001</v>
          </cell>
          <cell r="R57">
            <v>301.77687770343755</v>
          </cell>
          <cell r="S57">
            <v>311.1319609122441</v>
          </cell>
          <cell r="T57">
            <v>320.46591973961142</v>
          </cell>
          <cell r="U57">
            <v>330.07989733179977</v>
          </cell>
          <cell r="V57">
            <v>339.98229425175379</v>
          </cell>
        </row>
        <row r="58">
          <cell r="P58">
            <v>284.59137499999997</v>
          </cell>
          <cell r="Q58">
            <v>293.12911624999998</v>
          </cell>
          <cell r="R58">
            <v>301.9962720165625</v>
          </cell>
          <cell r="S58">
            <v>311.35815644907592</v>
          </cell>
          <cell r="T58">
            <v>320.69890114254821</v>
          </cell>
          <cell r="U58">
            <v>330.31986817682468</v>
          </cell>
          <cell r="V58">
            <v>340.22946422212942</v>
          </cell>
        </row>
        <row r="59">
          <cell r="P59">
            <v>285.10825</v>
          </cell>
          <cell r="Q59">
            <v>293.6614975</v>
          </cell>
          <cell r="R59">
            <v>302.54475779937502</v>
          </cell>
          <cell r="S59">
            <v>311.92364529115559</v>
          </cell>
          <cell r="T59">
            <v>321.28135464989026</v>
          </cell>
          <cell r="U59">
            <v>330.91979528938697</v>
          </cell>
          <cell r="V59">
            <v>340.8473891480686</v>
          </cell>
        </row>
        <row r="60">
          <cell r="P60">
            <v>287.48587500000002</v>
          </cell>
          <cell r="Q60">
            <v>296.11045125000004</v>
          </cell>
          <cell r="R60">
            <v>305.06779240031256</v>
          </cell>
          <cell r="S60">
            <v>314.5248939647222</v>
          </cell>
          <cell r="T60">
            <v>323.96064078366385</v>
          </cell>
          <cell r="U60">
            <v>333.67946000717376</v>
          </cell>
          <cell r="V60">
            <v>343.68984380738897</v>
          </cell>
        </row>
        <row r="61">
          <cell r="P61">
            <v>285.315</v>
          </cell>
          <cell r="Q61">
            <v>293.87445000000002</v>
          </cell>
          <cell r="R61">
            <v>302.76415211250008</v>
          </cell>
          <cell r="S61">
            <v>312.14984082798759</v>
          </cell>
          <cell r="T61">
            <v>321.51433605282722</v>
          </cell>
          <cell r="U61">
            <v>331.15976613441205</v>
          </cell>
          <cell r="V61">
            <v>341.09455911844441</v>
          </cell>
        </row>
        <row r="62">
          <cell r="P62">
            <v>287.48587500000002</v>
          </cell>
          <cell r="Q62">
            <v>296.11045125000004</v>
          </cell>
          <cell r="R62">
            <v>305.06779240031256</v>
          </cell>
          <cell r="S62">
            <v>314.5248939647222</v>
          </cell>
          <cell r="T62">
            <v>323.96064078366385</v>
          </cell>
          <cell r="U62">
            <v>333.67946000717376</v>
          </cell>
          <cell r="V62">
            <v>343.68984380738897</v>
          </cell>
        </row>
        <row r="63">
          <cell r="P63">
            <v>287.69262500000002</v>
          </cell>
          <cell r="Q63">
            <v>296.32340375000001</v>
          </cell>
          <cell r="R63">
            <v>305.28718671343756</v>
          </cell>
          <cell r="S63">
            <v>314.75108950155408</v>
          </cell>
          <cell r="T63">
            <v>324.19362218660069</v>
          </cell>
          <cell r="U63">
            <v>333.91943085219873</v>
          </cell>
          <cell r="V63">
            <v>343.93701377776472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zoomScale="70" zoomScaleNormal="70" workbookViewId="0">
      <pane xSplit="7" ySplit="7" topLeftCell="K8" activePane="bottomRight" state="frozen"/>
      <selection activeCell="K53" sqref="K53"/>
      <selection pane="topRight" activeCell="K53" sqref="K53"/>
      <selection pane="bottomLeft" activeCell="K53" sqref="K53"/>
      <selection pane="bottomRight" activeCell="L40" sqref="L40:P40"/>
    </sheetView>
  </sheetViews>
  <sheetFormatPr defaultColWidth="0" defaultRowHeight="13.2" zeroHeight="1"/>
  <cols>
    <col min="1" max="2" width="3.109375" style="49" customWidth="1"/>
    <col min="3" max="3" width="3.109375" style="194" customWidth="1"/>
    <col min="4" max="4" width="10" style="49" customWidth="1"/>
    <col min="5" max="5" width="114.5546875" style="74" customWidth="1"/>
    <col min="6" max="6" width="6" style="49" customWidth="1"/>
    <col min="7" max="7" width="10.109375" style="49" customWidth="1"/>
    <col min="8" max="8" width="12.109375" style="49" customWidth="1"/>
    <col min="9" max="16" width="14.5546875" style="49" customWidth="1"/>
    <col min="17" max="21" width="13.5546875" style="49" customWidth="1"/>
    <col min="22" max="22" width="10.5546875" style="50" customWidth="1"/>
    <col min="23" max="24" width="9.109375" style="31" customWidth="1"/>
    <col min="25" max="25" width="9.109375" style="31" hidden="1" customWidth="1"/>
    <col min="26" max="27" width="13.109375" style="31" hidden="1" customWidth="1"/>
    <col min="28" max="16384" width="9.109375" style="31" hidden="1"/>
  </cols>
  <sheetData>
    <row r="1" spans="1:24" s="2" customFormat="1" ht="33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3.8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1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3.8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3.8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3.8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v>103.2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v>100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1.35661743356896</v>
      </c>
      <c r="M26" s="37">
        <v>1.35661743356896</v>
      </c>
      <c r="N26" s="37">
        <v>1.35661743356896</v>
      </c>
      <c r="O26" s="37">
        <v>1.35661743356896</v>
      </c>
      <c r="P26" s="37">
        <v>1.35661743356896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3.8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103.2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100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3.8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3.8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3.8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76.170970085937299</v>
      </c>
      <c r="M40" s="37">
        <v>76.898373249898199</v>
      </c>
      <c r="N40" s="37">
        <v>77.186906725718401</v>
      </c>
      <c r="O40" s="37">
        <v>77.327905285099803</v>
      </c>
      <c r="P40" s="37">
        <v>76.278353094737696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78.446612498546898</v>
      </c>
      <c r="M46" s="37">
        <v>79.106460511086283</v>
      </c>
      <c r="N46" s="37">
        <v>79.397335691717245</v>
      </c>
      <c r="O46" s="37">
        <v>79.539478579339772</v>
      </c>
      <c r="P46" s="37">
        <v>78.482413302341087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3.8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f>'[2]Up to date Summay'!B112</f>
        <v>80.162509204557892</v>
      </c>
      <c r="M52" s="37">
        <f>'[2]Up to date Summay'!C112</f>
        <v>85.61783658200001</v>
      </c>
      <c r="N52" s="37">
        <f>'[2]Up to date Summay'!D112</f>
        <v>95.271477186577016</v>
      </c>
      <c r="O52" s="37">
        <f>'[2]Up to date Summay'!E112</f>
        <v>94.023356170903185</v>
      </c>
      <c r="P52" s="37">
        <f>'[2]Up to date Summay'!F112</f>
        <v>95.87480836649641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3.8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3.8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3.8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f>'[2]Up to date Summay'!B115</f>
        <v>1.5697266316269769</v>
      </c>
      <c r="M60" s="37">
        <f>'[2]Up to date Summay'!C115</f>
        <v>1.679</v>
      </c>
      <c r="N60" s="37">
        <f>'[2]Up to date Summay'!D115</f>
        <v>1.4111974161360286</v>
      </c>
      <c r="O60" s="37">
        <f>'[2]Up to date Summay'!E115</f>
        <v>1.5760415009073991</v>
      </c>
      <c r="P60" s="37">
        <f>'[2]Up to date Summay'!F115</f>
        <v>1.6233227459346213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f>IF('[2]Up to date Summay'!$J$136="on",'[2]Up to date Summay'!J137,0)</f>
        <v>0</v>
      </c>
      <c r="M61" s="37">
        <v>0</v>
      </c>
      <c r="N61" s="37">
        <v>0</v>
      </c>
      <c r="O61" s="37">
        <v>0</v>
      </c>
      <c r="P61" s="37">
        <v>0</v>
      </c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f>'[2]Up to date Summay'!B114</f>
        <v>1.6419999999999999</v>
      </c>
      <c r="M62" s="37">
        <f>'[2]Up to date Summay'!C114</f>
        <v>1.6020000000000001</v>
      </c>
      <c r="N62" s="37">
        <f>'[2]Up to date Summay'!D114</f>
        <v>1.8049999999999999</v>
      </c>
      <c r="O62" s="37">
        <f>'[2]Up to date Summay'!E114</f>
        <v>1.1187256638905554</v>
      </c>
      <c r="P62" s="37">
        <f>'[2]Up to date Summay'!F114</f>
        <v>1.1187256638905554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>
        <v>0</v>
      </c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0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4.4"/>
    <row r="81" spans="1:24" s="23" customFormat="1" ht="13.8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3.8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3.8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3.8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>
      <c r="D125" s="49" t="s">
        <v>72</v>
      </c>
      <c r="E125" s="74" t="s">
        <v>73</v>
      </c>
      <c r="F125" s="35"/>
      <c r="L125" s="242">
        <v>0.73899999999999999</v>
      </c>
      <c r="M125" s="242">
        <v>0.68300000000000005</v>
      </c>
      <c r="N125" s="242">
        <v>0.67800000000000005</v>
      </c>
      <c r="O125" s="242">
        <v>0.65700000000000003</v>
      </c>
      <c r="P125" s="242">
        <v>0.65200000000000002</v>
      </c>
      <c r="Q125" s="75" t="s">
        <v>74</v>
      </c>
    </row>
    <row r="126" spans="1:27">
      <c r="D126" s="49" t="s">
        <v>72</v>
      </c>
      <c r="E126" s="74" t="s">
        <v>75</v>
      </c>
      <c r="F126" s="35"/>
      <c r="L126" s="242">
        <v>0</v>
      </c>
      <c r="M126" s="242">
        <v>0</v>
      </c>
      <c r="N126" s="242">
        <v>0</v>
      </c>
      <c r="O126" s="242">
        <v>0</v>
      </c>
      <c r="P126" s="242">
        <v>0</v>
      </c>
      <c r="Q126" s="75" t="s">
        <v>76</v>
      </c>
    </row>
    <row r="127" spans="1:27"/>
    <row r="128" spans="1:27" s="23" customFormat="1" ht="13.8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/>
    </row>
    <row r="131" spans="1:24">
      <c r="D131" s="3" t="s">
        <v>58</v>
      </c>
      <c r="E131" s="74" t="s">
        <v>231</v>
      </c>
      <c r="F131" s="31"/>
      <c r="H131" s="69">
        <f>EffInc.Coeff.Water</f>
        <v>0.49359999999999993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1.008</v>
      </c>
    </row>
    <row r="133" spans="1:24" ht="14.4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>
        <v>0</v>
      </c>
      <c r="O134" s="227">
        <v>0</v>
      </c>
      <c r="P134" s="227">
        <v>0</v>
      </c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4.4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>
        <v>0</v>
      </c>
      <c r="O137" s="227">
        <v>0</v>
      </c>
      <c r="P137" s="227">
        <v>0</v>
      </c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3.8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3.8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>
        <v>0</v>
      </c>
      <c r="M151" s="45">
        <v>0</v>
      </c>
      <c r="N151" s="45">
        <v>0</v>
      </c>
      <c r="O151" s="45">
        <v>0</v>
      </c>
      <c r="P151" s="45">
        <v>0</v>
      </c>
      <c r="Q151" s="75"/>
      <c r="R151" s="31"/>
      <c r="S151" s="31"/>
      <c r="T151" s="31"/>
      <c r="U151" s="31"/>
      <c r="V151" s="31"/>
    </row>
    <row r="152" spans="1:27" ht="13.8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8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51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80" zoomScaleNormal="80" workbookViewId="0">
      <pane xSplit="6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I20" sqref="I20"/>
    </sheetView>
  </sheetViews>
  <sheetFormatPr defaultColWidth="0" defaultRowHeight="13.2" zeroHeight="1"/>
  <cols>
    <col min="1" max="3" width="2.6640625" style="3" customWidth="1"/>
    <col min="4" max="4" width="9.44140625" style="246" bestFit="1" customWidth="1"/>
    <col min="5" max="5" width="75.109375" style="129" customWidth="1"/>
    <col min="6" max="6" width="20.44140625" style="129" customWidth="1"/>
    <col min="7" max="7" width="14.6640625" style="129" customWidth="1"/>
    <col min="8" max="8" width="14.33203125" style="3" customWidth="1"/>
    <col min="9" max="9" width="11.44140625" style="3" customWidth="1"/>
    <col min="10" max="10" width="11.6640625" style="3" customWidth="1"/>
    <col min="11" max="17" width="11.109375" style="3" customWidth="1"/>
    <col min="18" max="20" width="11.5546875" style="3" customWidth="1"/>
    <col min="21" max="21" width="9.5546875" style="3" customWidth="1"/>
    <col min="22" max="22" width="3.6640625" style="119" customWidth="1"/>
    <col min="23" max="23" width="106.109375" style="118" bestFit="1" customWidth="1"/>
    <col min="24" max="24" width="3.6640625" style="130" customWidth="1"/>
    <col min="25" max="25" width="13.6640625" style="118" hidden="1" customWidth="1"/>
    <col min="26" max="38" width="9.109375" style="118" hidden="1" customWidth="1"/>
    <col min="39" max="39" width="10.109375" style="118" hidden="1" customWidth="1"/>
    <col min="40" max="16384" width="9.109375" style="118" hidden="1"/>
  </cols>
  <sheetData>
    <row r="1" spans="1:29" s="2" customFormat="1" ht="33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3.8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3.8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75.602320209270971</v>
      </c>
      <c r="M14" s="56">
        <f>Actual.Totex.Water/Indexation.Average</f>
        <v>79.05359602138752</v>
      </c>
      <c r="N14" s="56">
        <f>Actual.Totex.Water/Indexation.Average</f>
        <v>84.79389619797773</v>
      </c>
      <c r="O14" s="56">
        <f>Actual.Totex.Water/Indexation.Average</f>
        <v>80.950944236811878</v>
      </c>
      <c r="P14" s="56">
        <f>Actual.Totex.Water/Indexation.Average</f>
        <v>80.140759461668537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0</v>
      </c>
      <c r="M15" s="56">
        <f>Actual.Totex.Sewerage/Indexation.Average</f>
        <v>0</v>
      </c>
      <c r="N15" s="56">
        <f>Actual.Totex.Sewerage/Indexation.Average</f>
        <v>0</v>
      </c>
      <c r="O15" s="56">
        <f>Actual.Totex.Sewerage/Indexation.Average</f>
        <v>0</v>
      </c>
      <c r="P15" s="56">
        <f>Actual.Totex.Sewerage/Indexation.Average</f>
        <v>0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3.0290217663882713</v>
      </c>
      <c r="M18" s="56">
        <f>SUM(INDEX(Actual.Exclusions.Water,,M6))/Indexation.Average</f>
        <v>3.0294487562501957</v>
      </c>
      <c r="N18" s="56">
        <f>SUM(INDEX(Actual.Exclusions.Water,,N6))/Indexation.Average</f>
        <v>2.8624927198511601</v>
      </c>
      <c r="O18" s="56">
        <f>SUM(INDEX(Actual.Exclusions.Water,,O6))/Indexation.Average</f>
        <v>2.3201038058271153</v>
      </c>
      <c r="P18" s="56">
        <f>SUM(INDEX(Actual.Exclusions.Water,,P6))/Indexation.Average</f>
        <v>2.2920498699097491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0</v>
      </c>
      <c r="M19" s="298">
        <f>SUM(Inputs!M66:M72)/Indexation.Average</f>
        <v>0</v>
      </c>
      <c r="N19" s="298">
        <f>SUM(Inputs!N66:N72)/Indexation.Average</f>
        <v>0</v>
      </c>
      <c r="O19" s="298">
        <f>SUM(Inputs!O66:O72)/Indexation.Average</f>
        <v>0</v>
      </c>
      <c r="P19" s="298">
        <f>SUM(Inputs!P66:P72)/Indexation.Average</f>
        <v>0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0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0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72.573298442882702</v>
      </c>
      <c r="M30" s="298">
        <f t="shared" ref="M30:P30" si="2">M14-M18+M22</f>
        <v>76.02414726513733</v>
      </c>
      <c r="N30" s="298">
        <f t="shared" si="2"/>
        <v>81.931403478126569</v>
      </c>
      <c r="O30" s="298">
        <f>O14-O18+O22</f>
        <v>78.630840430984762</v>
      </c>
      <c r="P30" s="298">
        <f t="shared" si="2"/>
        <v>77.848709591758791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0</v>
      </c>
      <c r="M31" s="298">
        <f t="shared" ref="M31:P31" si="3">M15-M19+M23</f>
        <v>0</v>
      </c>
      <c r="N31" s="298">
        <f t="shared" si="3"/>
        <v>0</v>
      </c>
      <c r="O31" s="298">
        <f t="shared" si="3"/>
        <v>0</v>
      </c>
      <c r="P31" s="298">
        <f t="shared" si="3"/>
        <v>0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72.573298442882702</v>
      </c>
      <c r="M32" s="114">
        <f>SUM(M30:M31)</f>
        <v>76.02414726513733</v>
      </c>
      <c r="N32" s="114">
        <f t="shared" ref="N32:P32" si="4">SUM(N30:N31)</f>
        <v>81.931403478126569</v>
      </c>
      <c r="O32" s="114">
        <f t="shared" si="4"/>
        <v>78.630840430984762</v>
      </c>
      <c r="P32" s="114">
        <f t="shared" si="4"/>
        <v>77.848709591758791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3.8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3.8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3.8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0.49359999999999993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100.8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-0.40512000000000015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0.49999999999999994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100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3.8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0.49359999999999993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100.8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-0.40512000000000015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0.49999999999999994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100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3.8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3.8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1.0081953582293621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100.81953582293622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-0.41476288220131829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-4.1476288220131828E-3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0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49.999999999999993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0.49999999999999994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3.8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-1.5921192037017935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0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-0.30858383401214928</v>
      </c>
      <c r="M97" s="211">
        <f>FD.AddInc.Coeff.Water/100*Baseline.Totex.Water</f>
        <v>-0.31153068970998771</v>
      </c>
      <c r="N97" s="211">
        <f>FD.AddInc.Coeff.Water/100*Baseline.Totex.Water</f>
        <v>-0.31269959652723051</v>
      </c>
      <c r="O97" s="211">
        <f>FD.AddInc.Coeff.Water/100*Baseline.Totex.Water</f>
        <v>-0.31327080989099643</v>
      </c>
      <c r="P97" s="211">
        <f>FD.AddInc.Coeff.Water/100*Baseline.Totex.Water</f>
        <v>-0.30901886405740148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</v>
      </c>
      <c r="M98" s="211">
        <f>FD.AddInc.Coeff.Sewerage/100*Baseline.Totex.Sewerage</f>
        <v>0</v>
      </c>
      <c r="N98" s="211">
        <f>FD.AddInc.Coeff.Sewerage/100*Baseline.Totex.Sewerage</f>
        <v>0</v>
      </c>
      <c r="O98" s="211">
        <f>FD.AddInc.Coeff.Sewerage/100*Baseline.Totex.Sewerage</f>
        <v>0</v>
      </c>
      <c r="P98" s="211">
        <f>FD.AddInc.Coeff.Sewerage/100*Baseline.Totex.Sewerage</f>
        <v>0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-3.7015409504028041E-2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0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-7.3450769169881667E-3</v>
      </c>
      <c r="M105" s="211">
        <f>IF(SUM(Baseline.Totex.Water)=0,0,$G101*(Baseline.Totex.Water/SUM(Baseline.Totex.Water)))</f>
        <v>-7.4152195472175775E-3</v>
      </c>
      <c r="N105" s="211">
        <f>IF(SUM(Baseline.Totex.Water)=0,0,$G101*(Baseline.Totex.Water/SUM(Baseline.Totex.Water)))</f>
        <v>-7.4430424904022878E-3</v>
      </c>
      <c r="O105" s="211">
        <f>IF(SUM(Baseline.Totex.Water)=0,0,$G101*(Baseline.Totex.Water/SUM(Baseline.Totex.Water)))</f>
        <v>-7.4566388153889914E-3</v>
      </c>
      <c r="P105" s="211">
        <f>IF(SUM(Baseline.Totex.Water)=0,0,$G101*(Baseline.Totex.Water/SUM(Baseline.Totex.Water)))</f>
        <v>-7.3554317340310199E-3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0</v>
      </c>
      <c r="M106" s="211">
        <f>IF(SUM(Baseline.Totex.Sewerage)=0,0,$G102*(Baseline.Totex.Sewerage/SUM(Baseline.Totex.Sewerage)))</f>
        <v>0</v>
      </c>
      <c r="N106" s="211">
        <f>IF(SUM(Baseline.Totex.Sewerage)=0,0,$G102*(Baseline.Totex.Sewerage/SUM(Baseline.Totex.Sewerage)))</f>
        <v>0</v>
      </c>
      <c r="O106" s="211">
        <f>IF(SUM(Baseline.Totex.Sewerage)=0,0,$G102*(Baseline.Totex.Sewerage/SUM(Baseline.Totex.Sewerage)))</f>
        <v>0</v>
      </c>
      <c r="P106" s="211">
        <f>IF(SUM(Baseline.Totex.Sewerage)=0,0,$G102*(Baseline.Totex.Sewerage/SUM(Baseline.Totex.Sewerage)))</f>
        <v>0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-8.4612664156842304E-3</v>
      </c>
      <c r="M109" s="211">
        <f>M105*(1+WACC)^Calcs!M7</f>
        <v>-8.2452395963998528E-3</v>
      </c>
      <c r="N109" s="211">
        <f>N105*(1+WACC)^Calcs!N7</f>
        <v>-7.9885877327788134E-3</v>
      </c>
      <c r="O109" s="211">
        <f>O105*(1+WACC)^Calcs!O7</f>
        <v>-7.7250778127429956E-3</v>
      </c>
      <c r="P109" s="211">
        <f>P105*(1+WACC)^Calcs!P7</f>
        <v>-7.3554317340310199E-3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0</v>
      </c>
      <c r="M110" s="211">
        <f>M106*(1+WACC)^Calcs!M7</f>
        <v>0</v>
      </c>
      <c r="N110" s="211">
        <f>N106*(1+WACC)^Calcs!N7</f>
        <v>0</v>
      </c>
      <c r="O110" s="211">
        <f>O106*(1+WACC)^Calcs!O7</f>
        <v>0</v>
      </c>
      <c r="P110" s="211">
        <f>P106*(1+WACC)^Calcs!P7</f>
        <v>0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-3.9775603291636909E-2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0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3.8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3.8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76.780337846624803</v>
      </c>
      <c r="M136" s="211">
        <f>Baseline.Totex.Water*(FD.AllExp.Coeff.Water/100)</f>
        <v>77.513560235897387</v>
      </c>
      <c r="N136" s="211">
        <f>Baseline.Totex.Water*(FD.AllExp.Coeff.Water/100)</f>
        <v>77.804401979524144</v>
      </c>
      <c r="O136" s="211">
        <f>Baseline.Totex.Water*(FD.AllExp.Coeff.Water/100)</f>
        <v>77.946528527380607</v>
      </c>
      <c r="P136" s="211">
        <f>Baseline.Totex.Water*(FD.AllExp.Coeff.Water/100)</f>
        <v>76.888579919495598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0</v>
      </c>
      <c r="M137" s="211">
        <f>Baseline.Totex.Sewerage*(FD.AllExp.Coeff.Sewerage/100)</f>
        <v>0</v>
      </c>
      <c r="N137" s="211">
        <f>Baseline.Totex.Sewerage*(FD.AllExp.Coeff.Sewerage/100)</f>
        <v>0</v>
      </c>
      <c r="O137" s="211">
        <f>Baseline.Totex.Sewerage*(FD.AllExp.Coeff.Sewerage/100)</f>
        <v>0</v>
      </c>
      <c r="P137" s="211">
        <f>Baseline.Totex.Sewerage*(FD.AllExp.Coeff.Sewerage/100)</f>
        <v>0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78.446612498546898</v>
      </c>
      <c r="M140" s="211">
        <f>Inputs!M46</f>
        <v>79.106460511086283</v>
      </c>
      <c r="N140" s="211">
        <f>Inputs!N46</f>
        <v>79.397335691717245</v>
      </c>
      <c r="O140" s="211">
        <f>Inputs!O46</f>
        <v>79.539478579339772</v>
      </c>
      <c r="P140" s="211">
        <f>Inputs!P46</f>
        <v>78.482413302341087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0</v>
      </c>
      <c r="M141" s="211">
        <f>Inputs!M47</f>
        <v>0</v>
      </c>
      <c r="N141" s="211">
        <f>Inputs!N47</f>
        <v>0</v>
      </c>
      <c r="O141" s="211">
        <f>Inputs!O47</f>
        <v>0</v>
      </c>
      <c r="P141" s="211">
        <f>Inputs!P47</f>
        <v>0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1.6662746519220946</v>
      </c>
      <c r="M144" s="211">
        <f t="shared" ref="M144:P144" si="5">M140-M136</f>
        <v>1.5929002751888959</v>
      </c>
      <c r="N144" s="211">
        <f t="shared" si="5"/>
        <v>1.5929337121931013</v>
      </c>
      <c r="O144" s="211">
        <f t="shared" si="5"/>
        <v>1.5929500519591642</v>
      </c>
      <c r="P144" s="211">
        <f t="shared" si="5"/>
        <v>1.5938333828454887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0</v>
      </c>
      <c r="M145" s="211">
        <f t="shared" ref="M145:P145" si="6">M141-M137</f>
        <v>0</v>
      </c>
      <c r="N145" s="211">
        <f t="shared" si="6"/>
        <v>0</v>
      </c>
      <c r="O145" s="211">
        <f t="shared" si="6"/>
        <v>0</v>
      </c>
      <c r="P145" s="211">
        <f t="shared" si="6"/>
        <v>0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76.780337846624803</v>
      </c>
      <c r="M148" s="211">
        <f>Baseline.Totex.Water*(AllExp.Coeff.Water/100)</f>
        <v>77.513560235897387</v>
      </c>
      <c r="N148" s="211">
        <f>Baseline.Totex.Water*(AllExp.Coeff.Water/100)</f>
        <v>77.804401979524144</v>
      </c>
      <c r="O148" s="211">
        <f>Baseline.Totex.Water*(AllExp.Coeff.Water/100)</f>
        <v>77.946528527380607</v>
      </c>
      <c r="P148" s="211">
        <f>Baseline.Totex.Water*(AllExp.Coeff.Water/100)</f>
        <v>76.888579919495598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0</v>
      </c>
      <c r="M149" s="211">
        <f>Baseline.Totex.Sewerage*(AllExp.Coeff.Sewerage/100)</f>
        <v>0</v>
      </c>
      <c r="N149" s="211">
        <f>Baseline.Totex.Sewerage*(AllExp.Coeff.Sewerage/100)</f>
        <v>0</v>
      </c>
      <c r="O149" s="211">
        <f>Baseline.Totex.Sewerage*(AllExp.Coeff.Sewerage/100)</f>
        <v>0</v>
      </c>
      <c r="P149" s="211">
        <f>Baseline.Totex.Sewerage*(AllExp.Coeff.Sewerage/100)</f>
        <v>0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78.446612498546898</v>
      </c>
      <c r="M152" s="211">
        <f t="shared" ref="M152:P152" si="7">M148+M144</f>
        <v>79.106460511086283</v>
      </c>
      <c r="N152" s="211">
        <f t="shared" si="7"/>
        <v>79.397335691717245</v>
      </c>
      <c r="O152" s="211">
        <f t="shared" si="7"/>
        <v>79.539478579339772</v>
      </c>
      <c r="P152" s="211">
        <f t="shared" si="7"/>
        <v>78.482413302341087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0</v>
      </c>
      <c r="M153" s="211">
        <f t="shared" ref="M153:P153" si="8">M149+M145</f>
        <v>0</v>
      </c>
      <c r="N153" s="211">
        <f t="shared" si="8"/>
        <v>0</v>
      </c>
      <c r="O153" s="211">
        <f t="shared" si="8"/>
        <v>0</v>
      </c>
      <c r="P153" s="211">
        <f t="shared" si="8"/>
        <v>0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0</v>
      </c>
      <c r="M156" s="211">
        <f t="shared" si="9"/>
        <v>0</v>
      </c>
      <c r="N156" s="211">
        <f t="shared" si="9"/>
        <v>0</v>
      </c>
      <c r="O156" s="211">
        <f t="shared" si="9"/>
        <v>0</v>
      </c>
      <c r="P156" s="211">
        <f t="shared" si="9"/>
        <v>0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0</v>
      </c>
      <c r="M157" s="211">
        <f t="shared" si="9"/>
        <v>0</v>
      </c>
      <c r="N157" s="211">
        <f t="shared" si="9"/>
        <v>0</v>
      </c>
      <c r="O157" s="211">
        <f t="shared" si="9"/>
        <v>0</v>
      </c>
      <c r="P157" s="211">
        <f t="shared" si="9"/>
        <v>0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3.8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-4.2070394037421011</v>
      </c>
      <c r="M162" s="295">
        <f>(Actual.Totex.Water-SUM(Inputs!M60:M64))/Indexation.Average-M148</f>
        <v>-1.4894129707600712</v>
      </c>
      <c r="N162" s="295">
        <f>(Actual.Totex.Water-SUM(Inputs!N60:N64))/Indexation.Average-N148</f>
        <v>4.127001498602425</v>
      </c>
      <c r="O162" s="295">
        <f>(Actual.Totex.Water-SUM(Inputs!O60:O64))/Indexation.Average-O148</f>
        <v>0.68431190360416849</v>
      </c>
      <c r="P162" s="295">
        <f>(Actual.Totex.Water-SUM(Inputs!P60:P64))/Indexation.Average-P148</f>
        <v>0.9601296722631929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0</v>
      </c>
      <c r="M163" s="295">
        <f>(Actual.Totex.Sewerage-SUM(Inputs!M66:M72))/Indexation.Average-M149</f>
        <v>0</v>
      </c>
      <c r="N163" s="295">
        <f>(Actual.Totex.Sewerage-SUM(Inputs!N66:N72))/Indexation.Average-N149</f>
        <v>0</v>
      </c>
      <c r="O163" s="295">
        <f>(Actual.Totex.Sewerage-SUM(Inputs!O66:O72))/Indexation.Average-O149</f>
        <v>0</v>
      </c>
      <c r="P163" s="295">
        <f>(Actual.Totex.Sewerage-SUM(Inputs!P66:P72))/Indexation.Average-P149</f>
        <v>0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-4.2070394037421011</v>
      </c>
      <c r="M166" s="211">
        <f t="shared" ref="L166:P167" si="10">M162+M156</f>
        <v>-1.4894129707600712</v>
      </c>
      <c r="N166" s="211">
        <f t="shared" si="10"/>
        <v>4.127001498602425</v>
      </c>
      <c r="O166" s="211">
        <f t="shared" si="10"/>
        <v>0.68431190360416849</v>
      </c>
      <c r="P166" s="211">
        <f t="shared" si="10"/>
        <v>0.9601296722631929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0</v>
      </c>
      <c r="M167" s="211">
        <f t="shared" si="10"/>
        <v>0</v>
      </c>
      <c r="N167" s="211">
        <f t="shared" si="10"/>
        <v>0</v>
      </c>
      <c r="O167" s="211">
        <f t="shared" si="10"/>
        <v>0</v>
      </c>
      <c r="P167" s="211">
        <f t="shared" si="10"/>
        <v>0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-4.8463592170168415</v>
      </c>
      <c r="M170" s="211">
        <f>M166*(1+WACC)^Calcs!M7</f>
        <v>-1.6561298992840379</v>
      </c>
      <c r="N170" s="211">
        <f>N166*(1+WACC)^Calcs!N7</f>
        <v>4.4294942004439886</v>
      </c>
      <c r="O170" s="211">
        <f>O166*(1+WACC)^Calcs!O7</f>
        <v>0.70894713213391858</v>
      </c>
      <c r="P170" s="211">
        <f>P166*(1+WACC)^Calcs!P7</f>
        <v>0.9601296722631929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0</v>
      </c>
      <c r="M171" s="211">
        <f>M167*(1+WACC)^Calcs!M7</f>
        <v>0</v>
      </c>
      <c r="N171" s="211">
        <f>N167*(1+WACC)^Calcs!N7</f>
        <v>0</v>
      </c>
      <c r="O171" s="211">
        <f>O167*(1+WACC)^Calcs!O7</f>
        <v>0</v>
      </c>
      <c r="P171" s="211">
        <f>P167*(1+WACC)^Calcs!P7</f>
        <v>0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-0.40391811145977874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0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3.8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3.8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3.8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0.68170913496038588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</v>
      </c>
      <c r="H193" s="126" t="s">
        <v>126</v>
      </c>
    </row>
    <row r="194" spans="1:24"/>
    <row r="195" spans="1:24" s="23" customFormat="1" ht="13.8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-0.31513026964971541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0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3.8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-0.12856344510170026</v>
      </c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0</v>
      </c>
    </row>
    <row r="204" spans="1:24"/>
    <row r="205" spans="1:24" ht="13.8" thickBot="1"/>
    <row r="206" spans="1:24" s="3" customFormat="1" ht="13.8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51"/>
  <sheetViews>
    <sheetView showGridLines="0" tabSelected="1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P14" sqref="P14"/>
    </sheetView>
  </sheetViews>
  <sheetFormatPr defaultColWidth="0" defaultRowHeight="0" customHeight="1" zeroHeight="1"/>
  <cols>
    <col min="1" max="3" width="2.6640625" style="7" customWidth="1"/>
    <col min="4" max="4" width="9.6640625" style="7" customWidth="1"/>
    <col min="5" max="5" width="29.33203125" style="7" customWidth="1"/>
    <col min="6" max="6" width="17.88671875" style="7" customWidth="1"/>
    <col min="7" max="7" width="11.5546875" style="7" customWidth="1"/>
    <col min="8" max="8" width="4.109375" style="7" customWidth="1"/>
    <col min="9" max="21" width="13.109375" style="7" customWidth="1"/>
    <col min="22" max="22" width="15.88671875" style="7" bestFit="1" customWidth="1"/>
    <col min="23" max="16384" width="9.109375" style="7" hidden="1"/>
  </cols>
  <sheetData>
    <row r="1" spans="1:24" ht="33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3.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3.2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3.2">
      <c r="V4" s="135"/>
    </row>
    <row r="5" spans="1:24" ht="13.2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3.2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3.2"/>
    <row r="8" spans="1:24" ht="13.2"/>
    <row r="9" spans="1:24" s="23" customFormat="1" ht="13.8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3.2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3.2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-0.31513026964971541</v>
      </c>
      <c r="Q11" s="3"/>
      <c r="R11" s="3"/>
      <c r="S11" s="3"/>
      <c r="T11" s="3"/>
      <c r="U11" s="3"/>
      <c r="V11" s="119"/>
      <c r="X11" s="130"/>
    </row>
    <row r="12" spans="1:24" s="118" customFormat="1" ht="13.2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0</v>
      </c>
      <c r="Q12" s="3"/>
      <c r="R12" s="3"/>
      <c r="S12" s="3"/>
      <c r="T12" s="3"/>
      <c r="U12" s="3"/>
      <c r="V12" s="119"/>
      <c r="X12" s="130"/>
    </row>
    <row r="13" spans="1:24" s="118" customFormat="1" ht="13.2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3.2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-0.31513026964971541</v>
      </c>
      <c r="Q14" s="3"/>
      <c r="R14" s="3"/>
      <c r="S14" s="3"/>
      <c r="T14" s="3"/>
      <c r="U14" s="3"/>
      <c r="V14" s="119"/>
      <c r="X14" s="130"/>
    </row>
    <row r="15" spans="1:24" s="118" customFormat="1" ht="13.2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3.8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3.2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3.2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-0.12856344510170026</v>
      </c>
      <c r="Q18" s="3"/>
      <c r="R18" s="3"/>
      <c r="S18" s="3"/>
      <c r="T18" s="3"/>
      <c r="U18" s="3"/>
      <c r="V18" s="119"/>
      <c r="X18" s="130"/>
    </row>
    <row r="19" spans="1:24" s="118" customFormat="1" ht="13.2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0</v>
      </c>
      <c r="Q19" s="3"/>
      <c r="R19" s="3"/>
      <c r="S19" s="3"/>
      <c r="T19" s="3"/>
      <c r="U19" s="3"/>
      <c r="V19" s="119"/>
      <c r="X19" s="130"/>
    </row>
    <row r="20" spans="1:24" customFormat="1" ht="14.4">
      <c r="G20" s="7"/>
    </row>
    <row r="21" spans="1:24" s="118" customFormat="1" ht="13.2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-0.12856344510170026</v>
      </c>
      <c r="Q21" s="3"/>
      <c r="R21" s="3"/>
      <c r="S21" s="3"/>
      <c r="T21" s="3"/>
      <c r="U21" s="3"/>
      <c r="V21" s="119"/>
      <c r="X21" s="130"/>
    </row>
    <row r="22" spans="1:24" ht="13.8" thickBot="1"/>
    <row r="23" spans="1:24" ht="13.8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3.2"/>
    <row r="25" spans="1:24" ht="13.2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-0.12856344510170026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6" max="1048575" man="1"/>
  </colBreaks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I6" activePane="bottomRight" state="frozen"/>
      <selection activeCell="M121" sqref="M121"/>
      <selection pane="topRight" activeCell="M121" sqref="M121"/>
      <selection pane="bottomLeft" activeCell="M121" sqref="M121"/>
      <selection pane="bottomRight" activeCell="Q24" sqref="Q24"/>
    </sheetView>
  </sheetViews>
  <sheetFormatPr defaultColWidth="0" defaultRowHeight="0" customHeight="1" zeroHeight="1"/>
  <cols>
    <col min="1" max="3" width="4.6640625" style="3" customWidth="1"/>
    <col min="4" max="4" width="11.6640625" style="3" customWidth="1"/>
    <col min="5" max="5" width="53.109375" style="3" customWidth="1"/>
    <col min="6" max="7" width="2.6640625" style="3" customWidth="1"/>
    <col min="8" max="21" width="11" style="3" customWidth="1"/>
    <col min="22" max="22" width="22.33203125" style="180" bestFit="1" customWidth="1"/>
    <col min="23" max="26" width="8.88671875" style="3" hidden="1" customWidth="1"/>
    <col min="27" max="259" width="0" style="3" hidden="1" customWidth="1"/>
    <col min="260" max="16384" width="0" style="3" hidden="1"/>
  </cols>
  <sheetData>
    <row r="1" spans="1:24" s="100" customFormat="1" ht="33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3.2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3.8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3.2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3.2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3.2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303">
        <v>255.7</v>
      </c>
      <c r="L11" s="303">
        <v>258</v>
      </c>
      <c r="M11" s="303">
        <v>261.39999999999998</v>
      </c>
      <c r="N11" s="303">
        <v>270.60000000000002</v>
      </c>
      <c r="O11" s="171">
        <f>[3]Inputs!P52</f>
        <v>279.73275000000001</v>
      </c>
      <c r="P11" s="171">
        <f>[3]Inputs!Q52</f>
        <v>288.12473249999999</v>
      </c>
      <c r="Q11" s="171">
        <f>[3]Inputs!R52</f>
        <v>296.84050565812504</v>
      </c>
      <c r="R11" s="171">
        <f>[3]Inputs!S52</f>
        <v>306.04256133352692</v>
      </c>
      <c r="S11" s="171">
        <f>[3]Inputs!T52</f>
        <v>315.22383817353273</v>
      </c>
      <c r="T11" s="171">
        <f>[3]Inputs!U52</f>
        <v>324.6805533187387</v>
      </c>
      <c r="U11" s="171">
        <f>[3]Inputs!V52</f>
        <v>334.4209699183009</v>
      </c>
      <c r="V11" s="167"/>
    </row>
    <row r="12" spans="1:24" s="153" customFormat="1" ht="13.2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303">
        <v>255.9</v>
      </c>
      <c r="L12" s="303">
        <v>258.5</v>
      </c>
      <c r="M12" s="303">
        <v>262.10000000000002</v>
      </c>
      <c r="N12" s="303">
        <v>271.7</v>
      </c>
      <c r="O12" s="171">
        <f>[3]Inputs!P53</f>
        <v>280.86987499999998</v>
      </c>
      <c r="P12" s="171">
        <f>[3]Inputs!Q53</f>
        <v>289.29597124999998</v>
      </c>
      <c r="Q12" s="171">
        <f>[3]Inputs!R53</f>
        <v>298.04717438031253</v>
      </c>
      <c r="R12" s="171">
        <f>[3]Inputs!S53</f>
        <v>307.28663678610218</v>
      </c>
      <c r="S12" s="171">
        <f>[3]Inputs!T53</f>
        <v>316.50523588968525</v>
      </c>
      <c r="T12" s="171">
        <f>[3]Inputs!U53</f>
        <v>326.00039296637584</v>
      </c>
      <c r="U12" s="171">
        <f>[3]Inputs!V53</f>
        <v>335.7804047553671</v>
      </c>
      <c r="V12" s="167"/>
    </row>
    <row r="13" spans="1:24" s="153" customFormat="1" ht="13.2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303">
        <v>256.3</v>
      </c>
      <c r="L13" s="303">
        <v>258.89999999999998</v>
      </c>
      <c r="M13" s="303">
        <v>263.10000000000002</v>
      </c>
      <c r="N13" s="303">
        <v>272.3</v>
      </c>
      <c r="O13" s="171">
        <f>[3]Inputs!P54</f>
        <v>281.49012499999998</v>
      </c>
      <c r="P13" s="171">
        <f>[3]Inputs!Q54</f>
        <v>289.93482875000001</v>
      </c>
      <c r="Q13" s="171">
        <f>[3]Inputs!R54</f>
        <v>298.70535731968755</v>
      </c>
      <c r="R13" s="171">
        <f>[3]Inputs!S54</f>
        <v>307.96522339659782</v>
      </c>
      <c r="S13" s="171">
        <f>[3]Inputs!T54</f>
        <v>317.20418009849578</v>
      </c>
      <c r="T13" s="171">
        <f>[3]Inputs!U54</f>
        <v>326.72030550145064</v>
      </c>
      <c r="U13" s="171">
        <f>[3]Inputs!V54</f>
        <v>336.52191466649418</v>
      </c>
      <c r="V13" s="167"/>
    </row>
    <row r="14" spans="1:24" s="153" customFormat="1" ht="13.2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303">
        <v>256</v>
      </c>
      <c r="L14" s="303">
        <v>258.60000000000002</v>
      </c>
      <c r="M14" s="303">
        <v>263.39999999999998</v>
      </c>
      <c r="N14" s="303">
        <v>272.89999999999998</v>
      </c>
      <c r="O14" s="171">
        <f>[3]Inputs!P55</f>
        <v>282.11037499999998</v>
      </c>
      <c r="P14" s="171">
        <f>[3]Inputs!Q55</f>
        <v>290.57368624999998</v>
      </c>
      <c r="Q14" s="171">
        <f>[3]Inputs!R55</f>
        <v>299.36354025906252</v>
      </c>
      <c r="R14" s="171">
        <f>[3]Inputs!S55</f>
        <v>308.64381000709341</v>
      </c>
      <c r="S14" s="171">
        <f>[3]Inputs!T55</f>
        <v>317.9031243073062</v>
      </c>
      <c r="T14" s="171">
        <f>[3]Inputs!U55</f>
        <v>327.44021803652538</v>
      </c>
      <c r="U14" s="171">
        <f>[3]Inputs!V55</f>
        <v>337.26342457762115</v>
      </c>
      <c r="V14" s="167"/>
    </row>
    <row r="15" spans="1:24" s="153" customFormat="1" ht="13.2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303">
        <v>257</v>
      </c>
      <c r="L15" s="303">
        <v>259.8</v>
      </c>
      <c r="M15" s="303">
        <v>264.39999999999998</v>
      </c>
      <c r="N15" s="303">
        <v>274.7</v>
      </c>
      <c r="O15" s="171">
        <f>[3]Inputs!P56</f>
        <v>283.97112499999997</v>
      </c>
      <c r="P15" s="171">
        <f>[3]Inputs!Q56</f>
        <v>292.49025874999995</v>
      </c>
      <c r="Q15" s="171">
        <f>[3]Inputs!R56</f>
        <v>301.33808907718748</v>
      </c>
      <c r="R15" s="171">
        <f>[3]Inputs!S56</f>
        <v>310.67956983858028</v>
      </c>
      <c r="S15" s="171">
        <f>[3]Inputs!T56</f>
        <v>319.99995693373768</v>
      </c>
      <c r="T15" s="171">
        <f>[3]Inputs!U56</f>
        <v>329.59995564174983</v>
      </c>
      <c r="U15" s="171">
        <f>[3]Inputs!V56</f>
        <v>339.48795431100234</v>
      </c>
      <c r="V15" s="167"/>
    </row>
    <row r="16" spans="1:24" s="153" customFormat="1" ht="13.2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303">
        <v>257.60000000000002</v>
      </c>
      <c r="L16" s="303">
        <v>259.60000000000002</v>
      </c>
      <c r="M16" s="303">
        <v>264.89999999999998</v>
      </c>
      <c r="N16" s="303">
        <v>275.10000000000002</v>
      </c>
      <c r="O16" s="171">
        <f>[3]Inputs!P57</f>
        <v>284.38462500000003</v>
      </c>
      <c r="P16" s="171">
        <f>[3]Inputs!Q57</f>
        <v>292.91616375000001</v>
      </c>
      <c r="Q16" s="171">
        <f>[3]Inputs!R57</f>
        <v>301.77687770343755</v>
      </c>
      <c r="R16" s="171">
        <f>[3]Inputs!S57</f>
        <v>311.1319609122441</v>
      </c>
      <c r="S16" s="171">
        <f>[3]Inputs!T57</f>
        <v>320.46591973961142</v>
      </c>
      <c r="T16" s="171">
        <f>[3]Inputs!U57</f>
        <v>330.07989733179977</v>
      </c>
      <c r="U16" s="171">
        <f>[3]Inputs!V57</f>
        <v>339.98229425175379</v>
      </c>
      <c r="V16" s="167"/>
    </row>
    <row r="17" spans="2:22" s="153" customFormat="1" ht="13.2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303">
        <v>257.7</v>
      </c>
      <c r="L17" s="303">
        <v>259.5</v>
      </c>
      <c r="M17" s="303">
        <v>264.8</v>
      </c>
      <c r="N17" s="303">
        <v>275.3</v>
      </c>
      <c r="O17" s="171">
        <f>[3]Inputs!P58</f>
        <v>284.59137499999997</v>
      </c>
      <c r="P17" s="171">
        <f>[3]Inputs!Q58</f>
        <v>293.12911624999998</v>
      </c>
      <c r="Q17" s="171">
        <f>[3]Inputs!R58</f>
        <v>301.9962720165625</v>
      </c>
      <c r="R17" s="171">
        <f>[3]Inputs!S58</f>
        <v>311.35815644907592</v>
      </c>
      <c r="S17" s="171">
        <f>[3]Inputs!T58</f>
        <v>320.69890114254821</v>
      </c>
      <c r="T17" s="171">
        <f>[3]Inputs!U58</f>
        <v>330.31986817682468</v>
      </c>
      <c r="U17" s="171">
        <f>[3]Inputs!V58</f>
        <v>340.22946422212942</v>
      </c>
      <c r="V17" s="167"/>
    </row>
    <row r="18" spans="2:22" s="153" customFormat="1" ht="13.2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303">
        <v>257.10000000000002</v>
      </c>
      <c r="L18" s="303">
        <v>259.8</v>
      </c>
      <c r="M18" s="303">
        <v>265.5</v>
      </c>
      <c r="N18" s="303">
        <v>275.8</v>
      </c>
      <c r="O18" s="171">
        <f>[3]Inputs!P59</f>
        <v>285.10825</v>
      </c>
      <c r="P18" s="171">
        <f>[3]Inputs!Q59</f>
        <v>293.6614975</v>
      </c>
      <c r="Q18" s="171">
        <f>[3]Inputs!R59</f>
        <v>302.54475779937502</v>
      </c>
      <c r="R18" s="171">
        <f>[3]Inputs!S59</f>
        <v>311.92364529115559</v>
      </c>
      <c r="S18" s="171">
        <f>[3]Inputs!T59</f>
        <v>321.28135464989026</v>
      </c>
      <c r="T18" s="171">
        <f>[3]Inputs!U59</f>
        <v>330.91979528938697</v>
      </c>
      <c r="U18" s="171">
        <f>[3]Inputs!V59</f>
        <v>340.8473891480686</v>
      </c>
      <c r="V18" s="167"/>
    </row>
    <row r="19" spans="2:22" s="153" customFormat="1" ht="13.2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303">
        <v>257.5</v>
      </c>
      <c r="L19" s="303">
        <v>260.60000000000002</v>
      </c>
      <c r="M19" s="303">
        <v>267.10000000000002</v>
      </c>
      <c r="N19" s="303">
        <v>278.10000000000002</v>
      </c>
      <c r="O19" s="171">
        <f>[3]Inputs!P60</f>
        <v>287.48587500000002</v>
      </c>
      <c r="P19" s="171">
        <f>[3]Inputs!Q60</f>
        <v>296.11045125000004</v>
      </c>
      <c r="Q19" s="171">
        <f>[3]Inputs!R60</f>
        <v>305.06779240031256</v>
      </c>
      <c r="R19" s="171">
        <f>[3]Inputs!S60</f>
        <v>314.5248939647222</v>
      </c>
      <c r="S19" s="171">
        <f>[3]Inputs!T60</f>
        <v>323.96064078366385</v>
      </c>
      <c r="T19" s="171">
        <f>[3]Inputs!U60</f>
        <v>333.67946000717376</v>
      </c>
      <c r="U19" s="171">
        <f>[3]Inputs!V60</f>
        <v>343.68984380738897</v>
      </c>
      <c r="V19" s="167"/>
    </row>
    <row r="20" spans="2:22" s="153" customFormat="1" ht="13.2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303">
        <v>255.4</v>
      </c>
      <c r="L20" s="303">
        <v>258.8</v>
      </c>
      <c r="M20" s="303">
        <v>265.5</v>
      </c>
      <c r="N20" s="303">
        <v>276</v>
      </c>
      <c r="O20" s="171">
        <f>[3]Inputs!P61</f>
        <v>285.315</v>
      </c>
      <c r="P20" s="171">
        <f>[3]Inputs!Q61</f>
        <v>293.87445000000002</v>
      </c>
      <c r="Q20" s="171">
        <f>[3]Inputs!R61</f>
        <v>302.76415211250008</v>
      </c>
      <c r="R20" s="171">
        <f>[3]Inputs!S61</f>
        <v>312.14984082798759</v>
      </c>
      <c r="S20" s="171">
        <f>[3]Inputs!T61</f>
        <v>321.51433605282722</v>
      </c>
      <c r="T20" s="171">
        <f>[3]Inputs!U61</f>
        <v>331.15976613441205</v>
      </c>
      <c r="U20" s="171">
        <f>[3]Inputs!V61</f>
        <v>341.09455911844441</v>
      </c>
      <c r="V20" s="167"/>
    </row>
    <row r="21" spans="2:22" s="153" customFormat="1" ht="13.2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303">
        <v>256.7</v>
      </c>
      <c r="L21" s="303">
        <v>260</v>
      </c>
      <c r="M21" s="303">
        <v>268.39999999999998</v>
      </c>
      <c r="N21" s="303">
        <v>278.10000000000002</v>
      </c>
      <c r="O21" s="171">
        <f>[3]Inputs!P62</f>
        <v>287.48587500000002</v>
      </c>
      <c r="P21" s="171">
        <f>[3]Inputs!Q62</f>
        <v>296.11045125000004</v>
      </c>
      <c r="Q21" s="171">
        <f>[3]Inputs!R62</f>
        <v>305.06779240031256</v>
      </c>
      <c r="R21" s="171">
        <f>[3]Inputs!S62</f>
        <v>314.5248939647222</v>
      </c>
      <c r="S21" s="171">
        <f>[3]Inputs!T62</f>
        <v>323.96064078366385</v>
      </c>
      <c r="T21" s="171">
        <f>[3]Inputs!U62</f>
        <v>333.67946000717376</v>
      </c>
      <c r="U21" s="171">
        <f>[3]Inputs!V62</f>
        <v>343.68984380738897</v>
      </c>
      <c r="V21" s="167"/>
    </row>
    <row r="22" spans="2:22" s="153" customFormat="1" ht="13.2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303">
        <v>257.10000000000002</v>
      </c>
      <c r="L22" s="303">
        <v>261.10000000000002</v>
      </c>
      <c r="M22" s="303">
        <v>269.3</v>
      </c>
      <c r="N22" s="303">
        <v>278.3</v>
      </c>
      <c r="O22" s="171">
        <f>[3]Inputs!P63</f>
        <v>287.69262500000002</v>
      </c>
      <c r="P22" s="171">
        <f>[3]Inputs!Q63</f>
        <v>296.32340375000001</v>
      </c>
      <c r="Q22" s="171">
        <f>[3]Inputs!R63</f>
        <v>305.28718671343756</v>
      </c>
      <c r="R22" s="171">
        <f>[3]Inputs!S63</f>
        <v>314.75108950155408</v>
      </c>
      <c r="S22" s="171">
        <f>[3]Inputs!T63</f>
        <v>324.19362218660069</v>
      </c>
      <c r="T22" s="171">
        <f>[3]Inputs!U63</f>
        <v>333.91943085219873</v>
      </c>
      <c r="U22" s="171">
        <f>[3]Inputs!V63</f>
        <v>343.93701377776472</v>
      </c>
      <c r="V22" s="167"/>
    </row>
    <row r="23" spans="2:22" s="153" customFormat="1" ht="13.2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3.2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 t="s">
        <v>152</v>
      </c>
      <c r="L24" s="202">
        <v>0</v>
      </c>
      <c r="M24" s="202">
        <v>0</v>
      </c>
      <c r="N24" s="202">
        <v>0</v>
      </c>
      <c r="O24" s="304">
        <v>0</v>
      </c>
      <c r="P24" s="304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0</v>
      </c>
      <c r="V24" s="178"/>
    </row>
    <row r="25" spans="2:22" s="177" customFormat="1" ht="13.2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3.2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255.7</v>
      </c>
      <c r="L29" s="179">
        <f t="shared" si="2"/>
        <v>258</v>
      </c>
      <c r="M29" s="179">
        <f t="shared" si="2"/>
        <v>261.39999999999998</v>
      </c>
      <c r="N29" s="179">
        <f t="shared" si="2"/>
        <v>270.60000000000002</v>
      </c>
      <c r="O29" s="179">
        <f t="shared" si="2"/>
        <v>279.73275000000001</v>
      </c>
      <c r="P29" s="179">
        <f t="shared" si="2"/>
        <v>288.12473249999999</v>
      </c>
      <c r="Q29" s="179">
        <f t="shared" si="2"/>
        <v>296.84050565812504</v>
      </c>
      <c r="R29" s="179">
        <f t="shared" si="2"/>
        <v>306.04256133352692</v>
      </c>
      <c r="S29" s="179">
        <f t="shared" si="2"/>
        <v>315.22383817353273</v>
      </c>
      <c r="T29" s="179">
        <f t="shared" si="2"/>
        <v>324.6805533187387</v>
      </c>
      <c r="U29" s="179">
        <f t="shared" si="2"/>
        <v>334.4209699183009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255.9</v>
      </c>
      <c r="L30" s="179">
        <f t="shared" si="3"/>
        <v>258.5</v>
      </c>
      <c r="M30" s="179">
        <f t="shared" si="3"/>
        <v>262.10000000000002</v>
      </c>
      <c r="N30" s="179">
        <f t="shared" si="3"/>
        <v>271.7</v>
      </c>
      <c r="O30" s="179">
        <f t="shared" si="3"/>
        <v>280.86987499999998</v>
      </c>
      <c r="P30" s="179">
        <f t="shared" si="3"/>
        <v>289.29597124999998</v>
      </c>
      <c r="Q30" s="179">
        <f t="shared" si="3"/>
        <v>298.04717438031253</v>
      </c>
      <c r="R30" s="179">
        <f t="shared" si="3"/>
        <v>307.28663678610218</v>
      </c>
      <c r="S30" s="179">
        <f t="shared" si="3"/>
        <v>316.50523588968525</v>
      </c>
      <c r="T30" s="179">
        <f t="shared" si="3"/>
        <v>326.00039296637584</v>
      </c>
      <c r="U30" s="179">
        <f t="shared" si="3"/>
        <v>335.7804047553671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256.3</v>
      </c>
      <c r="L31" s="179">
        <f t="shared" si="3"/>
        <v>258.89999999999998</v>
      </c>
      <c r="M31" s="179">
        <f t="shared" si="3"/>
        <v>263.10000000000002</v>
      </c>
      <c r="N31" s="179">
        <f t="shared" si="3"/>
        <v>272.3</v>
      </c>
      <c r="O31" s="179">
        <f t="shared" si="3"/>
        <v>281.49012499999998</v>
      </c>
      <c r="P31" s="179">
        <f t="shared" si="3"/>
        <v>289.93482875000001</v>
      </c>
      <c r="Q31" s="179">
        <f t="shared" si="3"/>
        <v>298.70535731968755</v>
      </c>
      <c r="R31" s="179">
        <f t="shared" si="3"/>
        <v>307.96522339659782</v>
      </c>
      <c r="S31" s="179">
        <f t="shared" si="3"/>
        <v>317.20418009849578</v>
      </c>
      <c r="T31" s="179">
        <f t="shared" si="3"/>
        <v>326.72030550145064</v>
      </c>
      <c r="U31" s="179">
        <f t="shared" si="3"/>
        <v>336.52191466649418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256</v>
      </c>
      <c r="L32" s="179">
        <f t="shared" si="3"/>
        <v>258.60000000000002</v>
      </c>
      <c r="M32" s="179">
        <f t="shared" si="3"/>
        <v>263.39999999999998</v>
      </c>
      <c r="N32" s="179">
        <f t="shared" si="3"/>
        <v>272.89999999999998</v>
      </c>
      <c r="O32" s="179">
        <f t="shared" si="3"/>
        <v>282.11037499999998</v>
      </c>
      <c r="P32" s="179">
        <f t="shared" si="3"/>
        <v>290.57368624999998</v>
      </c>
      <c r="Q32" s="179">
        <f t="shared" si="3"/>
        <v>299.36354025906252</v>
      </c>
      <c r="R32" s="179">
        <f t="shared" si="3"/>
        <v>308.64381000709341</v>
      </c>
      <c r="S32" s="179">
        <f t="shared" si="3"/>
        <v>317.9031243073062</v>
      </c>
      <c r="T32" s="179">
        <f t="shared" si="3"/>
        <v>327.44021803652538</v>
      </c>
      <c r="U32" s="179">
        <f t="shared" si="3"/>
        <v>337.26342457762115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257</v>
      </c>
      <c r="L33" s="179">
        <f t="shared" si="3"/>
        <v>259.8</v>
      </c>
      <c r="M33" s="179">
        <f t="shared" si="3"/>
        <v>264.39999999999998</v>
      </c>
      <c r="N33" s="179">
        <f t="shared" si="3"/>
        <v>274.7</v>
      </c>
      <c r="O33" s="179">
        <f t="shared" si="3"/>
        <v>283.97112499999997</v>
      </c>
      <c r="P33" s="179">
        <f t="shared" si="3"/>
        <v>292.49025874999995</v>
      </c>
      <c r="Q33" s="179">
        <f t="shared" si="3"/>
        <v>301.33808907718748</v>
      </c>
      <c r="R33" s="179">
        <f t="shared" si="3"/>
        <v>310.67956983858028</v>
      </c>
      <c r="S33" s="179">
        <f t="shared" si="3"/>
        <v>319.99995693373768</v>
      </c>
      <c r="T33" s="179">
        <f t="shared" si="3"/>
        <v>329.59995564174983</v>
      </c>
      <c r="U33" s="179">
        <f t="shared" si="3"/>
        <v>339.48795431100234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257.60000000000002</v>
      </c>
      <c r="L34" s="179">
        <f t="shared" si="3"/>
        <v>259.60000000000002</v>
      </c>
      <c r="M34" s="179">
        <f t="shared" si="3"/>
        <v>264.89999999999998</v>
      </c>
      <c r="N34" s="179">
        <f t="shared" si="3"/>
        <v>275.10000000000002</v>
      </c>
      <c r="O34" s="179">
        <f t="shared" si="3"/>
        <v>284.38462500000003</v>
      </c>
      <c r="P34" s="179">
        <f t="shared" si="3"/>
        <v>292.91616375000001</v>
      </c>
      <c r="Q34" s="179">
        <f t="shared" si="3"/>
        <v>301.77687770343755</v>
      </c>
      <c r="R34" s="179">
        <f t="shared" si="3"/>
        <v>311.1319609122441</v>
      </c>
      <c r="S34" s="179">
        <f t="shared" si="3"/>
        <v>320.46591973961142</v>
      </c>
      <c r="T34" s="179">
        <f t="shared" si="3"/>
        <v>330.07989733179977</v>
      </c>
      <c r="U34" s="179">
        <f t="shared" si="3"/>
        <v>339.98229425175379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257.7</v>
      </c>
      <c r="L35" s="179">
        <f t="shared" si="3"/>
        <v>259.5</v>
      </c>
      <c r="M35" s="179">
        <f t="shared" si="3"/>
        <v>264.8</v>
      </c>
      <c r="N35" s="179">
        <f t="shared" si="3"/>
        <v>275.3</v>
      </c>
      <c r="O35" s="179">
        <f t="shared" si="3"/>
        <v>284.59137499999997</v>
      </c>
      <c r="P35" s="179">
        <f t="shared" si="3"/>
        <v>293.12911624999998</v>
      </c>
      <c r="Q35" s="179">
        <f t="shared" si="3"/>
        <v>301.9962720165625</v>
      </c>
      <c r="R35" s="179">
        <f t="shared" si="3"/>
        <v>311.35815644907592</v>
      </c>
      <c r="S35" s="179">
        <f t="shared" si="3"/>
        <v>320.69890114254821</v>
      </c>
      <c r="T35" s="179">
        <f t="shared" si="3"/>
        <v>330.31986817682468</v>
      </c>
      <c r="U35" s="179">
        <f t="shared" si="3"/>
        <v>340.22946422212942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257.10000000000002</v>
      </c>
      <c r="L36" s="179">
        <f t="shared" si="3"/>
        <v>259.8</v>
      </c>
      <c r="M36" s="179">
        <f t="shared" si="3"/>
        <v>265.5</v>
      </c>
      <c r="N36" s="179">
        <f t="shared" si="3"/>
        <v>275.8</v>
      </c>
      <c r="O36" s="179">
        <f t="shared" si="3"/>
        <v>285.10825</v>
      </c>
      <c r="P36" s="179">
        <f t="shared" si="3"/>
        <v>293.6614975</v>
      </c>
      <c r="Q36" s="179">
        <f t="shared" si="3"/>
        <v>302.54475779937502</v>
      </c>
      <c r="R36" s="179">
        <f t="shared" si="3"/>
        <v>311.92364529115559</v>
      </c>
      <c r="S36" s="179">
        <f t="shared" si="3"/>
        <v>321.28135464989026</v>
      </c>
      <c r="T36" s="179">
        <f t="shared" si="3"/>
        <v>330.91979528938697</v>
      </c>
      <c r="U36" s="179">
        <f t="shared" si="3"/>
        <v>340.8473891480686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257.5</v>
      </c>
      <c r="L37" s="179">
        <f t="shared" si="3"/>
        <v>260.60000000000002</v>
      </c>
      <c r="M37" s="179">
        <f t="shared" si="3"/>
        <v>267.10000000000002</v>
      </c>
      <c r="N37" s="179">
        <f t="shared" si="3"/>
        <v>278.10000000000002</v>
      </c>
      <c r="O37" s="179">
        <f t="shared" si="3"/>
        <v>287.48587500000002</v>
      </c>
      <c r="P37" s="179">
        <f t="shared" si="3"/>
        <v>296.11045125000004</v>
      </c>
      <c r="Q37" s="179">
        <f t="shared" si="3"/>
        <v>305.06779240031256</v>
      </c>
      <c r="R37" s="179">
        <f t="shared" si="3"/>
        <v>314.5248939647222</v>
      </c>
      <c r="S37" s="179">
        <f t="shared" si="3"/>
        <v>323.96064078366385</v>
      </c>
      <c r="T37" s="179">
        <f t="shared" si="3"/>
        <v>333.67946000717376</v>
      </c>
      <c r="U37" s="179">
        <f t="shared" si="3"/>
        <v>343.68984380738897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255.4</v>
      </c>
      <c r="L38" s="179">
        <f t="shared" si="3"/>
        <v>258.8</v>
      </c>
      <c r="M38" s="179">
        <f t="shared" si="3"/>
        <v>265.5</v>
      </c>
      <c r="N38" s="179">
        <f t="shared" si="3"/>
        <v>276</v>
      </c>
      <c r="O38" s="179">
        <f t="shared" si="3"/>
        <v>285.315</v>
      </c>
      <c r="P38" s="179">
        <f t="shared" si="3"/>
        <v>293.87445000000002</v>
      </c>
      <c r="Q38" s="179">
        <f t="shared" si="3"/>
        <v>302.76415211250008</v>
      </c>
      <c r="R38" s="179">
        <f t="shared" si="3"/>
        <v>312.14984082798759</v>
      </c>
      <c r="S38" s="179">
        <f t="shared" si="3"/>
        <v>321.51433605282722</v>
      </c>
      <c r="T38" s="179">
        <f t="shared" si="3"/>
        <v>331.15976613441205</v>
      </c>
      <c r="U38" s="179">
        <f t="shared" si="3"/>
        <v>341.09455911844441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256.7</v>
      </c>
      <c r="L39" s="179">
        <f t="shared" si="3"/>
        <v>260</v>
      </c>
      <c r="M39" s="179">
        <f t="shared" si="3"/>
        <v>268.39999999999998</v>
      </c>
      <c r="N39" s="179">
        <f t="shared" si="3"/>
        <v>278.10000000000002</v>
      </c>
      <c r="O39" s="179">
        <f t="shared" si="3"/>
        <v>287.48587500000002</v>
      </c>
      <c r="P39" s="179">
        <f t="shared" si="3"/>
        <v>296.11045125000004</v>
      </c>
      <c r="Q39" s="179">
        <f t="shared" si="3"/>
        <v>305.06779240031256</v>
      </c>
      <c r="R39" s="179">
        <f t="shared" si="3"/>
        <v>314.5248939647222</v>
      </c>
      <c r="S39" s="179">
        <f t="shared" si="3"/>
        <v>323.96064078366385</v>
      </c>
      <c r="T39" s="179">
        <f t="shared" si="3"/>
        <v>333.67946000717376</v>
      </c>
      <c r="U39" s="179">
        <f t="shared" si="3"/>
        <v>343.68984380738897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257.10000000000002</v>
      </c>
      <c r="L40" s="179">
        <f t="shared" si="3"/>
        <v>261.10000000000002</v>
      </c>
      <c r="M40" s="179">
        <f t="shared" si="3"/>
        <v>269.3</v>
      </c>
      <c r="N40" s="179">
        <f t="shared" si="3"/>
        <v>278.3</v>
      </c>
      <c r="O40" s="179">
        <f t="shared" si="3"/>
        <v>287.69262500000002</v>
      </c>
      <c r="P40" s="179">
        <f t="shared" si="3"/>
        <v>296.32340375000001</v>
      </c>
      <c r="Q40" s="179">
        <f t="shared" si="3"/>
        <v>305.28718671343756</v>
      </c>
      <c r="R40" s="179">
        <f t="shared" si="3"/>
        <v>314.75108950155408</v>
      </c>
      <c r="S40" s="179">
        <f t="shared" si="3"/>
        <v>324.19362218660069</v>
      </c>
      <c r="T40" s="179">
        <f t="shared" si="3"/>
        <v>333.91943085219873</v>
      </c>
      <c r="U40" s="179">
        <f t="shared" si="3"/>
        <v>343.93701377776472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256.66666666666669</v>
      </c>
      <c r="L41" s="182">
        <f t="shared" si="4"/>
        <v>259.43333333333334</v>
      </c>
      <c r="M41" s="182">
        <f t="shared" si="4"/>
        <v>264.99166666666673</v>
      </c>
      <c r="N41" s="182">
        <f t="shared" si="4"/>
        <v>274.90833333333336</v>
      </c>
      <c r="O41" s="182">
        <f t="shared" si="4"/>
        <v>284.1864895833333</v>
      </c>
      <c r="P41" s="182">
        <f t="shared" si="4"/>
        <v>292.71208427083337</v>
      </c>
      <c r="Q41" s="182">
        <f t="shared" si="4"/>
        <v>301.56662482002611</v>
      </c>
      <c r="R41" s="182">
        <f t="shared" si="4"/>
        <v>310.91519018944683</v>
      </c>
      <c r="S41" s="182">
        <f t="shared" si="4"/>
        <v>320.24264589513018</v>
      </c>
      <c r="T41" s="182">
        <f t="shared" si="4"/>
        <v>329.8499252719842</v>
      </c>
      <c r="U41" s="182">
        <f t="shared" si="4"/>
        <v>339.74542303014374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1.077987421383648</v>
      </c>
      <c r="M45" s="254">
        <f t="shared" si="5"/>
        <v>1.0893081761006289</v>
      </c>
      <c r="N45" s="254">
        <f>IF(Indexation.November.Override&lt;&gt;"",Indexation.November.Override,IF($H$36=0,0,M36/$H$36))</f>
        <v>1.1132075471698113</v>
      </c>
      <c r="O45" s="254">
        <f t="shared" si="5"/>
        <v>1.1563941299790357</v>
      </c>
      <c r="P45" s="254">
        <f t="shared" si="5"/>
        <v>1.1954224318658282</v>
      </c>
      <c r="Q45" s="254">
        <f t="shared" si="5"/>
        <v>1.231285104821803</v>
      </c>
      <c r="R45" s="254">
        <f t="shared" si="5"/>
        <v>1.2685314792426625</v>
      </c>
      <c r="S45" s="254">
        <f t="shared" si="5"/>
        <v>1.3078559550991848</v>
      </c>
      <c r="T45" s="254">
        <f t="shared" si="5"/>
        <v>1.3470916337521603</v>
      </c>
      <c r="U45" s="254">
        <f t="shared" si="5"/>
        <v>1.3875043827647253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1.0490105922822794</v>
      </c>
      <c r="L49" s="254">
        <f t="shared" si="6"/>
        <v>1.0603181090562313</v>
      </c>
      <c r="M49" s="254">
        <f t="shared" si="6"/>
        <v>1.0830353189605262</v>
      </c>
      <c r="N49" s="254">
        <f>IF(Indexation.Average.Override&lt;&gt;"",Indexation.Average.Override,IF($I41=0,0,N41/$I41))</f>
        <v>1.1235652736623414</v>
      </c>
      <c r="O49" s="254">
        <f t="shared" si="6"/>
        <v>1.1614856016484452</v>
      </c>
      <c r="P49" s="254">
        <f t="shared" si="6"/>
        <v>1.1963301696978987</v>
      </c>
      <c r="Q49" s="254">
        <f t="shared" si="6"/>
        <v>1.2325191573312604</v>
      </c>
      <c r="R49" s="254">
        <f t="shared" si="6"/>
        <v>1.270727251208529</v>
      </c>
      <c r="S49" s="254">
        <f t="shared" si="6"/>
        <v>1.3088490687447847</v>
      </c>
      <c r="T49" s="254">
        <f t="shared" si="6"/>
        <v>1.3481145408071287</v>
      </c>
      <c r="U49" s="254">
        <f t="shared" si="6"/>
        <v>1.3885579770313428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1.9597457627118731E-2</v>
      </c>
      <c r="L51" s="188">
        <f>IF(K49=0,0,(L49/K49)-1)</f>
        <v>1.0779220779220777E-2</v>
      </c>
      <c r="M51" s="188">
        <f>IF(L49=0,0,(M49/L49)-1)</f>
        <v>2.1424900424001248E-2</v>
      </c>
      <c r="N51" s="188">
        <f t="shared" si="7"/>
        <v>3.7422560457875953E-2</v>
      </c>
      <c r="O51" s="305">
        <f t="shared" si="7"/>
        <v>3.3749999999999725E-2</v>
      </c>
      <c r="P51" s="305">
        <f t="shared" si="7"/>
        <v>3.0000000000000249E-2</v>
      </c>
      <c r="Q51" s="188">
        <f t="shared" si="7"/>
        <v>3.025000000000011E-2</v>
      </c>
      <c r="R51" s="188">
        <f t="shared" si="7"/>
        <v>3.0999999999999694E-2</v>
      </c>
      <c r="S51" s="188">
        <f t="shared" si="7"/>
        <v>2.9999999999999805E-2</v>
      </c>
      <c r="T51" s="188">
        <f t="shared" si="7"/>
        <v>3.0000000000000249E-2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6640625" style="7" customWidth="1"/>
    <col min="4" max="4" width="9.6640625" style="7" customWidth="1"/>
    <col min="5" max="5" width="29.33203125" style="7" customWidth="1"/>
    <col min="6" max="6" width="4.109375" style="7" customWidth="1"/>
    <col min="7" max="7" width="11.5546875" style="7" customWidth="1"/>
    <col min="8" max="8" width="4.109375" style="7" customWidth="1"/>
    <col min="9" max="21" width="9.6640625" style="7" customWidth="1"/>
    <col min="22" max="22" width="15.88671875" style="7" bestFit="1" customWidth="1"/>
    <col min="23" max="16384" width="9.109375" style="7" hidden="1"/>
  </cols>
  <sheetData>
    <row r="1" spans="1:22" ht="33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3.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.2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3.2">
      <c r="V4" s="135"/>
    </row>
    <row r="5" spans="1:22" ht="13.2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3.2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3.2"/>
    <row r="8" spans="1:22" ht="13.8" thickBot="1"/>
    <row r="9" spans="1:22" ht="13.8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3.2"/>
    <row r="11" spans="1:22" ht="13.2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94</vt:i4>
      </vt:variant>
    </vt:vector>
  </HeadingPairs>
  <TitlesOfParts>
    <vt:vector size="99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'Totex menu adjustments'!Print_Area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Philip Saynor</cp:lastModifiedBy>
  <cp:lastPrinted>2018-07-03T13:58:55Z</cp:lastPrinted>
  <dcterms:created xsi:type="dcterms:W3CDTF">2015-03-03T21:58:54Z</dcterms:created>
  <dcterms:modified xsi:type="dcterms:W3CDTF">2018-07-09T15:35:23Z</dcterms:modified>
</cp:coreProperties>
</file>